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08" windowWidth="15576" windowHeight="7932" tabRatio="768" firstSheet="1" activeTab="1"/>
  </bookViews>
  <sheets>
    <sheet name="Liste des variables" sheetId="9" r:id="rId1"/>
    <sheet name="Paramètres d'entrée" sheetId="1" r:id="rId2"/>
    <sheet name="Calcul" sheetId="2" state="hidden" r:id="rId3"/>
    <sheet name="Bassin de déflexion" sheetId="6" r:id="rId4"/>
    <sheet name="Durée de vie à la fatigue" sheetId="7" r:id="rId5"/>
    <sheet name="Durée de vie à l'orniérage" sheetId="8" r:id="rId6"/>
    <sheet name="Références" sheetId="10" r:id="rId7"/>
  </sheets>
  <definedNames>
    <definedName name="_xlnm.Print_Area" localSheetId="1">'Paramètres d''entrée'!$A$1:$P$25</definedName>
  </definedNames>
  <calcPr calcId="145621"/>
</workbook>
</file>

<file path=xl/calcChain.xml><?xml version="1.0" encoding="utf-8"?>
<calcChain xmlns="http://schemas.openxmlformats.org/spreadsheetml/2006/main">
  <c r="F9" i="1" l="1"/>
  <c r="AF15" i="2" l="1"/>
  <c r="AE15" i="2"/>
  <c r="AD14" i="2"/>
  <c r="AD15" i="2"/>
  <c r="AC15" i="2"/>
  <c r="Z15" i="2"/>
  <c r="Y15" i="2"/>
  <c r="X15" i="2"/>
  <c r="W15" i="2"/>
  <c r="D51" i="2"/>
  <c r="D52" i="2"/>
  <c r="D53" i="2"/>
  <c r="D54" i="2"/>
  <c r="D55" i="2"/>
  <c r="D50" i="2"/>
  <c r="A61" i="2"/>
  <c r="A62" i="2"/>
  <c r="A63" i="2"/>
  <c r="A64" i="2"/>
  <c r="A60" i="2"/>
  <c r="A66" i="2"/>
  <c r="A67" i="2"/>
  <c r="A68" i="2"/>
  <c r="A69" i="2"/>
  <c r="A65" i="2"/>
  <c r="A71" i="2"/>
  <c r="A72" i="2"/>
  <c r="A73" i="2"/>
  <c r="A74" i="2"/>
  <c r="A70" i="2"/>
  <c r="A75" i="2"/>
  <c r="A76" i="2"/>
  <c r="A77" i="2"/>
  <c r="A78" i="2"/>
  <c r="A79" i="2"/>
  <c r="A81" i="2"/>
  <c r="A82" i="2"/>
  <c r="A83" i="2"/>
  <c r="A84" i="2"/>
  <c r="A80" i="2"/>
  <c r="A86" i="2"/>
  <c r="A87" i="2"/>
  <c r="A88" i="2"/>
  <c r="A89" i="2"/>
  <c r="A85" i="2"/>
  <c r="A93" i="2"/>
  <c r="A92" i="2"/>
  <c r="A91" i="2"/>
  <c r="A90" i="2"/>
  <c r="A94" i="2"/>
  <c r="A56" i="2"/>
  <c r="A57" i="2"/>
  <c r="A58" i="2"/>
  <c r="A59" i="2"/>
  <c r="A55" i="2"/>
  <c r="A50" i="2"/>
  <c r="A51" i="2"/>
  <c r="A52" i="2"/>
  <c r="A53" i="2"/>
  <c r="A54" i="2"/>
  <c r="J42" i="2"/>
  <c r="A40" i="2"/>
  <c r="E40" i="2" s="1"/>
  <c r="D40" i="2" l="1"/>
  <c r="F40" i="2"/>
  <c r="B40" i="2"/>
  <c r="C40" i="2"/>
  <c r="G37" i="2" l="1"/>
  <c r="G40" i="2" s="1"/>
  <c r="G36" i="2"/>
  <c r="G35" i="2"/>
  <c r="G34" i="2"/>
  <c r="G33" i="2"/>
  <c r="G23" i="2"/>
  <c r="G22" i="2"/>
  <c r="G21" i="2"/>
  <c r="G20" i="2"/>
  <c r="G19" i="2"/>
  <c r="G18" i="2" l="1"/>
  <c r="G17" i="2"/>
  <c r="G16" i="2"/>
  <c r="T15" i="2" l="1"/>
  <c r="S15" i="2"/>
  <c r="Q15" i="2"/>
  <c r="N15" i="2"/>
  <c r="M15" i="2"/>
  <c r="K15" i="2"/>
  <c r="G15" i="2"/>
  <c r="B16" i="2" s="1"/>
  <c r="B13" i="2"/>
  <c r="V10" i="2" l="1"/>
  <c r="G8" i="2"/>
  <c r="AF7" i="2" s="1"/>
  <c r="G6" i="2"/>
  <c r="G4" i="2"/>
  <c r="G5" i="2" l="1"/>
  <c r="G3" i="2" s="1"/>
  <c r="B2" i="2"/>
  <c r="G1" i="2"/>
  <c r="F21" i="1" s="1"/>
  <c r="B1" i="2"/>
  <c r="E20" i="1"/>
  <c r="G2" i="2" l="1"/>
  <c r="F22" i="1"/>
  <c r="G9" i="2"/>
  <c r="O8" i="2" s="1"/>
  <c r="J10" i="2"/>
  <c r="F16" i="1"/>
  <c r="F15" i="1"/>
  <c r="B44" i="2" l="1"/>
  <c r="B45" i="2" s="1"/>
  <c r="I18" i="2"/>
  <c r="U15" i="2"/>
  <c r="U17" i="2"/>
  <c r="U19" i="2"/>
  <c r="U21" i="2"/>
  <c r="U23" i="2"/>
  <c r="U16" i="2"/>
  <c r="U20" i="2"/>
  <c r="U22" i="2"/>
  <c r="V22" i="2" s="1"/>
  <c r="I15" i="2"/>
  <c r="AF8" i="2"/>
  <c r="U18" i="2"/>
  <c r="I20" i="2"/>
  <c r="I22" i="2"/>
  <c r="H11" i="2"/>
  <c r="G11" i="2"/>
  <c r="I23" i="2"/>
  <c r="I21" i="2"/>
  <c r="I19" i="2"/>
  <c r="J19" i="2" s="1"/>
  <c r="I17" i="2"/>
  <c r="I16" i="2"/>
  <c r="G10" i="2"/>
  <c r="V20" i="2" l="1"/>
  <c r="X20" i="2" s="1"/>
  <c r="V16" i="2"/>
  <c r="Z16" i="2" s="1"/>
  <c r="J16" i="2"/>
  <c r="L16" i="2" s="1"/>
  <c r="J23" i="2"/>
  <c r="M23" i="2" s="1"/>
  <c r="J18" i="2"/>
  <c r="K18" i="2" s="1"/>
  <c r="J21" i="2"/>
  <c r="M21" i="2" s="1"/>
  <c r="V23" i="2"/>
  <c r="W23" i="2" s="1"/>
  <c r="B46" i="2"/>
  <c r="B7" i="2" s="1"/>
  <c r="B8" i="2" s="1"/>
  <c r="O23" i="2"/>
  <c r="G12" i="2"/>
  <c r="Q8" i="2" s="1"/>
  <c r="O9" i="2" s="1"/>
  <c r="O15" i="2"/>
  <c r="AA8" i="2"/>
  <c r="AF9" i="2"/>
  <c r="AF10" i="2"/>
  <c r="X22" i="2"/>
  <c r="Z22" i="2"/>
  <c r="Y22" i="2"/>
  <c r="W22" i="2"/>
  <c r="V18" i="2"/>
  <c r="V17" i="2"/>
  <c r="V21" i="2"/>
  <c r="V19" i="2"/>
  <c r="M19" i="2"/>
  <c r="N19" i="2"/>
  <c r="K19" i="2"/>
  <c r="L19" i="2"/>
  <c r="H12" i="2"/>
  <c r="B104" i="2" s="1"/>
  <c r="O18" i="2"/>
  <c r="O20" i="2"/>
  <c r="O22" i="2"/>
  <c r="O16" i="2"/>
  <c r="O17" i="2"/>
  <c r="O19" i="2"/>
  <c r="O21" i="2"/>
  <c r="J20" i="2"/>
  <c r="J17" i="2"/>
  <c r="J22" i="2"/>
  <c r="N23" i="2" l="1"/>
  <c r="X16" i="2"/>
  <c r="Z20" i="2"/>
  <c r="Y20" i="2"/>
  <c r="W20" i="2"/>
  <c r="N16" i="2"/>
  <c r="Z23" i="2"/>
  <c r="K21" i="2"/>
  <c r="Y16" i="2"/>
  <c r="K23" i="2"/>
  <c r="W16" i="2"/>
  <c r="M18" i="2"/>
  <c r="L18" i="2"/>
  <c r="K16" i="2"/>
  <c r="X23" i="2"/>
  <c r="N21" i="2"/>
  <c r="L23" i="2"/>
  <c r="N18" i="2"/>
  <c r="M16" i="2"/>
  <c r="Y23" i="2"/>
  <c r="L21" i="2"/>
  <c r="B9" i="1"/>
  <c r="B9" i="2"/>
  <c r="B10" i="1" s="1"/>
  <c r="Z19" i="2"/>
  <c r="Y19" i="2"/>
  <c r="W19" i="2"/>
  <c r="X19" i="2"/>
  <c r="Z17" i="2"/>
  <c r="Y17" i="2"/>
  <c r="W17" i="2"/>
  <c r="X17" i="2"/>
  <c r="AA10" i="2"/>
  <c r="Z21" i="2"/>
  <c r="Y21" i="2"/>
  <c r="W21" i="2"/>
  <c r="X21" i="2"/>
  <c r="X18" i="2"/>
  <c r="Z18" i="2"/>
  <c r="Y18" i="2"/>
  <c r="W18" i="2"/>
  <c r="AA23" i="2"/>
  <c r="AA15" i="2"/>
  <c r="AA17" i="2"/>
  <c r="AA19" i="2"/>
  <c r="AA21" i="2"/>
  <c r="AA16" i="2"/>
  <c r="AB16" i="2" s="1"/>
  <c r="AA20" i="2"/>
  <c r="AA22" i="2"/>
  <c r="AF11" i="2"/>
  <c r="G13" i="2" s="1"/>
  <c r="AA18" i="2"/>
  <c r="P16" i="2"/>
  <c r="T16" i="2" s="1"/>
  <c r="H13" i="2"/>
  <c r="P21" i="2"/>
  <c r="Q21" i="2" s="1"/>
  <c r="P17" i="2"/>
  <c r="R17" i="2" s="1"/>
  <c r="L22" i="2"/>
  <c r="K22" i="2"/>
  <c r="N22" i="2"/>
  <c r="M22" i="2"/>
  <c r="L20" i="2"/>
  <c r="K20" i="2"/>
  <c r="N20" i="2"/>
  <c r="M20" i="2"/>
  <c r="R21" i="2"/>
  <c r="O10" i="2"/>
  <c r="M17" i="2"/>
  <c r="N17" i="2"/>
  <c r="K17" i="2"/>
  <c r="L17" i="2"/>
  <c r="P22" i="2"/>
  <c r="P18" i="2"/>
  <c r="P23" i="2"/>
  <c r="Q23" i="2" s="1"/>
  <c r="P19" i="2"/>
  <c r="P20" i="2"/>
  <c r="A19" i="2" l="1"/>
  <c r="E24" i="1" s="1"/>
  <c r="S16" i="2"/>
  <c r="R16" i="2"/>
  <c r="S21" i="2"/>
  <c r="X24" i="2"/>
  <c r="Q16" i="2"/>
  <c r="T21" i="2"/>
  <c r="B11" i="2"/>
  <c r="J6" i="1" s="1"/>
  <c r="AB18" i="2"/>
  <c r="AF18" i="2" s="1"/>
  <c r="AB22" i="2"/>
  <c r="AC22" i="2" s="1"/>
  <c r="Z24" i="2"/>
  <c r="W24" i="2"/>
  <c r="Y24" i="2"/>
  <c r="AF22" i="2"/>
  <c r="AC8" i="2"/>
  <c r="AA9" i="2" s="1"/>
  <c r="AB19" i="2"/>
  <c r="T17" i="2"/>
  <c r="AB20" i="2"/>
  <c r="AB21" i="2"/>
  <c r="AB17" i="2"/>
  <c r="AB23" i="2"/>
  <c r="AF16" i="2"/>
  <c r="AC16" i="2"/>
  <c r="AE16" i="2"/>
  <c r="AD16" i="2"/>
  <c r="M24" i="2"/>
  <c r="K24" i="2"/>
  <c r="Q17" i="2"/>
  <c r="S17" i="2"/>
  <c r="N24" i="2"/>
  <c r="L24" i="2"/>
  <c r="S20" i="2"/>
  <c r="T20" i="2"/>
  <c r="R20" i="2"/>
  <c r="Q20" i="2"/>
  <c r="R23" i="2"/>
  <c r="S23" i="2"/>
  <c r="T23" i="2"/>
  <c r="S22" i="2"/>
  <c r="T22" i="2"/>
  <c r="Q22" i="2"/>
  <c r="R22" i="2"/>
  <c r="R19" i="2"/>
  <c r="Q19" i="2"/>
  <c r="S19" i="2"/>
  <c r="T19" i="2"/>
  <c r="S18" i="2"/>
  <c r="T18" i="2"/>
  <c r="R18" i="2"/>
  <c r="Q18" i="2"/>
  <c r="AD18" i="2" l="1"/>
  <c r="AC18" i="2"/>
  <c r="AE18" i="2"/>
  <c r="G43" i="2"/>
  <c r="G46" i="2"/>
  <c r="AE22" i="2"/>
  <c r="T24" i="2"/>
  <c r="AD22" i="2"/>
  <c r="V8" i="2"/>
  <c r="V11" i="2" s="1"/>
  <c r="AE23" i="2"/>
  <c r="AD23" i="2"/>
  <c r="AC23" i="2"/>
  <c r="AF23" i="2"/>
  <c r="AE21" i="2"/>
  <c r="AD21" i="2"/>
  <c r="AF21" i="2"/>
  <c r="AC21" i="2"/>
  <c r="AE17" i="2"/>
  <c r="AD17" i="2"/>
  <c r="AF17" i="2"/>
  <c r="AC17" i="2"/>
  <c r="AF20" i="2"/>
  <c r="AC20" i="2"/>
  <c r="AE20" i="2"/>
  <c r="AD20" i="2"/>
  <c r="AE19" i="2"/>
  <c r="AD19" i="2"/>
  <c r="AF19" i="2"/>
  <c r="AC19" i="2"/>
  <c r="J8" i="2"/>
  <c r="J11" i="2" s="1"/>
  <c r="B4" i="2" s="1"/>
  <c r="S24" i="2"/>
  <c r="R24" i="2"/>
  <c r="Q24" i="2"/>
  <c r="J43" i="2" l="1"/>
  <c r="N6" i="1" s="1"/>
  <c r="AA12" i="2"/>
  <c r="AF24" i="2"/>
  <c r="AE24" i="2"/>
  <c r="AC24" i="2"/>
  <c r="AD24" i="2"/>
  <c r="B5" i="2"/>
  <c r="O12" i="2"/>
  <c r="L8" i="2"/>
  <c r="B6" i="2" s="1"/>
  <c r="B15" i="2"/>
  <c r="F20" i="1" s="1"/>
  <c r="F17" i="1"/>
  <c r="X8" i="2" l="1"/>
  <c r="V9" i="2" s="1"/>
  <c r="D3" i="2" s="1"/>
  <c r="J9" i="2"/>
  <c r="B3" i="2" s="1"/>
  <c r="B12" i="2" l="1"/>
  <c r="J7" i="1" s="1"/>
  <c r="F18" i="1"/>
  <c r="B10" i="2"/>
  <c r="B11" i="1" s="1"/>
  <c r="F19" i="1"/>
  <c r="G44" i="2" l="1"/>
  <c r="J44" i="2" s="1"/>
  <c r="N7" i="1" s="1"/>
  <c r="G47" i="2"/>
</calcChain>
</file>

<file path=xl/comments1.xml><?xml version="1.0" encoding="utf-8"?>
<comments xmlns="http://schemas.openxmlformats.org/spreadsheetml/2006/main">
  <authors>
    <author>Jean-Pascal Bilodeau</author>
    <author>Camille</author>
  </authors>
  <commentList>
    <comment ref="N1" authorId="0">
      <text>
        <r>
          <rPr>
            <sz val="9"/>
            <color indexed="81"/>
            <rFont val="Tahoma"/>
            <family val="2"/>
          </rPr>
          <t>La feuille de calcul permet de calculer les déformations en tension à la base du revêtement et en compression au sommet du sol support, et d'estimer les durées de vie correspondantes avec le modèle de l'Asphalt Institute, directement à partir du bassin de déflexion mesuré au FWD. Les équations d'estimation sont basées sur le rayon de courbure et sur les paramètres SIS et SIP du modèle empirique de Rhode.
Avec les données disponibles, l'utilisateur doit remplir les cases en gris pâle. Les cases dont en gris foncé contiennent des données calculées. Les informations nécessaires concernent les épaisseurs des matériaux, la classe PG du bitume, les caractéristiques du chargement (fréquence, force et rayon de la plaque), ainsi que le bassin de déflexion mesuré. Lorsque nécessaires, les modules des matériaux sont obtenus par des équations d'estimation. Dans le processus de calcul pour l'estimation des déformations, seuls le module de l'enrobé et de la fondation, tous deux estimés par des modèles, sont utilisés. Le module du sol support est donné à titre informatif.
Le traitement des données permet d'obtenir les paramètres du bassin de déflexion les plus typiques. La déformation en tension à la base du revêtement est fonction du rayon de courbure du bassin, de l'épaisseur de l'enrobé et de la fondation, ainsi que du module de l'enrobé et de la fondation. La déformation en compression au sommet du sol support est estimée à partir des paramètres SIP et SIS empiriques de Rhode. Par contre, pour que les calculs conviennent à une gamme plus large d'épaisseur de chaussées, le paramètre SIS a été remplacé par un paramètre modifié SIS+100. Les calculs peuvent nécessiter des extrapolations du bassin de déflexion si les paramètres de Rhode excèdent une distance de 1500 mm. La feuille de calcul émet un avertissement en fonction du nombre d'extrapolation qui ont été nécessaires (0, 1 ou 2).</t>
        </r>
      </text>
    </comment>
    <comment ref="N5" authorId="0">
      <text>
        <r>
          <rPr>
            <b/>
            <sz val="9"/>
            <color indexed="81"/>
            <rFont val="Tahoma"/>
            <family val="2"/>
          </rPr>
          <t>Équations de l'Asphalt Institute (1991)</t>
        </r>
      </text>
    </comment>
    <comment ref="B9" authorId="0">
      <text>
        <r>
          <rPr>
            <b/>
            <sz val="9"/>
            <color indexed="81"/>
            <rFont val="Tahoma"/>
            <family val="2"/>
          </rPr>
          <t>Module dynamique estimé à partir des modèles généraux proposés par le MTQ en 2011 (considère l'effet de la classe PG du bitume) (Doucet et Auger 2011)</t>
        </r>
      </text>
    </comment>
    <comment ref="B10" authorId="0">
      <text>
        <r>
          <rPr>
            <b/>
            <sz val="9"/>
            <color indexed="81"/>
            <rFont val="Tahoma"/>
            <family val="2"/>
          </rPr>
          <t>Module calculé à partir d'une équation d'estimation prenant en compte l'épaisseur et le module de l'enrobé (Bilodeau et Doré 2012)</t>
        </r>
        <r>
          <rPr>
            <sz val="9"/>
            <color indexed="81"/>
            <rFont val="Tahoma"/>
            <family val="2"/>
          </rPr>
          <t xml:space="preserve">
</t>
        </r>
      </text>
    </comment>
    <comment ref="B11" authorId="1">
      <text>
        <r>
          <rPr>
            <b/>
            <sz val="9"/>
            <color indexed="81"/>
            <rFont val="Tahoma"/>
            <family val="2"/>
          </rPr>
          <t>Module calculé avec la formule de Rohde (1994).</t>
        </r>
      </text>
    </comment>
    <comment ref="B12" authorId="1">
      <text>
        <r>
          <rPr>
            <b/>
            <sz val="9"/>
            <color indexed="81"/>
            <rFont val="Tahoma"/>
            <family val="2"/>
          </rPr>
          <t>Choisissez la classe PG de l'enrobé dans la liste déroulante.</t>
        </r>
      </text>
    </comment>
    <comment ref="E12" authorId="0">
      <text>
        <r>
          <rPr>
            <b/>
            <sz val="9"/>
            <color indexed="81"/>
            <rFont val="Tahoma"/>
            <family val="2"/>
          </rPr>
          <t>Température de l'air :
Conversion en température au tiers de la profondeur dans l'enrobé (Huang 2004)</t>
        </r>
      </text>
    </comment>
    <comment ref="B15" authorId="1">
      <text>
        <r>
          <rPr>
            <b/>
            <sz val="9"/>
            <color indexed="81"/>
            <rFont val="Tahoma"/>
            <family val="2"/>
          </rPr>
          <t>Entrer les valeurs de déflexion en micro-mètres aux distances correspondantes.</t>
        </r>
      </text>
    </comment>
    <comment ref="F17" authorId="0">
      <text>
        <r>
          <rPr>
            <b/>
            <sz val="9"/>
            <color indexed="81"/>
            <rFont val="Tahoma"/>
            <family val="2"/>
          </rPr>
          <t>SIP calculé avec les déflexions à 0 et 1,5Hp
SIP est un paramètre de Rohde (1994)</t>
        </r>
      </text>
    </comment>
    <comment ref="F18" authorId="1">
      <text>
        <r>
          <rPr>
            <b/>
            <sz val="9"/>
            <color indexed="81"/>
            <rFont val="Tahoma"/>
            <family val="2"/>
          </rPr>
          <t>SIS calculé avec les déflexions à 1,5Hp et 1,5Hp+450.
SIS est un paramètre de Rohde (1994).</t>
        </r>
      </text>
    </comment>
    <comment ref="F19" authorId="1">
      <text>
        <r>
          <rPr>
            <b/>
            <sz val="9"/>
            <color indexed="81"/>
            <rFont val="Tahoma"/>
            <family val="2"/>
          </rPr>
          <t>SIS calculé avec les déflexions à 1,5Hp et 1,5Hp+100
Il s'agit d'une modification du paramètre de Rhode (1994) proposée afin de diminuer la nécessité d'extrapoler les déflexions pour des distances dépassant 1500 mm (André 2012)</t>
        </r>
      </text>
    </comment>
    <comment ref="F20" authorId="1">
      <text>
        <r>
          <rPr>
            <b/>
            <sz val="9"/>
            <color indexed="81"/>
            <rFont val="Tahoma"/>
            <family val="2"/>
          </rPr>
          <t>SN est le nombre structural tel que défini dans AASHTO (1993)</t>
        </r>
      </text>
    </comment>
    <comment ref="F21" authorId="0">
      <text>
        <r>
          <rPr>
            <b/>
            <sz val="9"/>
            <color indexed="81"/>
            <rFont val="Tahoma"/>
            <family val="2"/>
          </rPr>
          <t>R est le rayon de courbure du bassin de déflexion (Jung 1988)</t>
        </r>
      </text>
    </comment>
    <comment ref="F22" authorId="1">
      <text>
        <r>
          <rPr>
            <b/>
            <sz val="9"/>
            <color indexed="81"/>
            <rFont val="Tahoma"/>
            <family val="2"/>
          </rPr>
          <t>Aire normalisée, par rapport au d0, du bassin de déflexion (sans unité) (Saint-Laurent 1995)</t>
        </r>
      </text>
    </comment>
  </commentList>
</comments>
</file>

<file path=xl/sharedStrings.xml><?xml version="1.0" encoding="utf-8"?>
<sst xmlns="http://schemas.openxmlformats.org/spreadsheetml/2006/main" count="265" uniqueCount="149">
  <si>
    <t>X (mm)</t>
  </si>
  <si>
    <t>SCI</t>
  </si>
  <si>
    <t>BCI</t>
  </si>
  <si>
    <t>1,5*Hp</t>
  </si>
  <si>
    <t>Rayon de courbure</t>
  </si>
  <si>
    <t>Ebb</t>
  </si>
  <si>
    <t>log(Ebb)</t>
  </si>
  <si>
    <t>Ef</t>
  </si>
  <si>
    <t>T (°F)</t>
  </si>
  <si>
    <t>Température au tiers de l'épaisseur d'enrobé (°F)</t>
  </si>
  <si>
    <t>Profondeur au tiers de l'épaisseur de l'enrobé (m)</t>
  </si>
  <si>
    <t>Profondeur au tiers de l'épaisseur de l'enrobé (in)</t>
  </si>
  <si>
    <t>Température moyenne de l'air (°F)</t>
  </si>
  <si>
    <t>Température au tiers de l'épaisseur d'enrobé (°C)</t>
  </si>
  <si>
    <t>Classe PG</t>
  </si>
  <si>
    <t>58-28</t>
  </si>
  <si>
    <t>58-34</t>
  </si>
  <si>
    <t>64-28</t>
  </si>
  <si>
    <t>64-34</t>
  </si>
  <si>
    <t>70-28</t>
  </si>
  <si>
    <t>Hp</t>
  </si>
  <si>
    <t>1,5*Hp+100</t>
  </si>
  <si>
    <t>SIS (+100mm)</t>
  </si>
  <si>
    <t>déflexion</t>
  </si>
  <si>
    <t>Dinf</t>
  </si>
  <si>
    <t>Dsup</t>
  </si>
  <si>
    <t>Xinf</t>
  </si>
  <si>
    <t>Xsup</t>
  </si>
  <si>
    <t>1,5Hp</t>
  </si>
  <si>
    <t>1,5Hp+100</t>
  </si>
  <si>
    <t>Dx</t>
  </si>
  <si>
    <t>SIP</t>
  </si>
  <si>
    <t>D0</t>
  </si>
  <si>
    <t xml:space="preserve">INTERPOLATION </t>
  </si>
  <si>
    <t>EXTRAPOLATION</t>
  </si>
  <si>
    <t>1,5Hp+100&gt;1500</t>
  </si>
  <si>
    <t>SIS</t>
  </si>
  <si>
    <t>les deux &gt;1500</t>
  </si>
  <si>
    <t>juste Hp+100&gt;1500</t>
  </si>
  <si>
    <t>Aire normalisée du bassin de déflexion</t>
  </si>
  <si>
    <t xml:space="preserve">1,5Hp&gt;1500      </t>
  </si>
  <si>
    <t>PG</t>
  </si>
  <si>
    <t>delta</t>
  </si>
  <si>
    <t>alpha</t>
  </si>
  <si>
    <t>beta</t>
  </si>
  <si>
    <t>gamma</t>
  </si>
  <si>
    <t>a1</t>
  </si>
  <si>
    <t>a2</t>
  </si>
  <si>
    <t>Classe choisie</t>
  </si>
  <si>
    <t>log aT</t>
  </si>
  <si>
    <t>fr</t>
  </si>
  <si>
    <t>aT</t>
  </si>
  <si>
    <t>Einfra</t>
  </si>
  <si>
    <t>Durée de vie fatigue</t>
  </si>
  <si>
    <t>Asphalt Institute</t>
  </si>
  <si>
    <t>Durée vie fatigue</t>
  </si>
  <si>
    <t>Durée vie orniérage</t>
  </si>
  <si>
    <t>modèle choisi</t>
  </si>
  <si>
    <t xml:space="preserve">Durée de vie orniérage </t>
  </si>
  <si>
    <t>modifier l condition sinon si autre modèle</t>
  </si>
  <si>
    <t>idem</t>
  </si>
  <si>
    <t>Dx1,5Hp</t>
  </si>
  <si>
    <t>Dx1,5Hp+100</t>
  </si>
  <si>
    <t>Epsilon v (µε)</t>
  </si>
  <si>
    <t>N</t>
  </si>
  <si>
    <t>E</t>
  </si>
  <si>
    <t>Epsilon v (με)</t>
  </si>
  <si>
    <t>1,5*Hp+450</t>
  </si>
  <si>
    <t>1,5Hp+450&gt;1500</t>
  </si>
  <si>
    <t>1,5Hp+450</t>
  </si>
  <si>
    <t>SIS (+450mm)</t>
  </si>
  <si>
    <t>εt</t>
  </si>
  <si>
    <t>εv</t>
  </si>
  <si>
    <t xml:space="preserve">SN </t>
  </si>
  <si>
    <t>Indice de courbure de base</t>
  </si>
  <si>
    <t>Nombre structural</t>
  </si>
  <si>
    <t>orniérage</t>
  </si>
  <si>
    <t>fatigue</t>
  </si>
  <si>
    <r>
      <t>i3C</t>
    </r>
    <r>
      <rPr>
        <b/>
        <vertAlign val="superscript"/>
        <sz val="20"/>
        <color theme="1"/>
        <rFont val="Calibri"/>
        <family val="2"/>
        <scheme val="minor"/>
      </rPr>
      <t>Déflexion</t>
    </r>
    <r>
      <rPr>
        <b/>
        <sz val="20"/>
        <color theme="1"/>
        <rFont val="Calibri"/>
        <family val="2"/>
        <scheme val="minor"/>
      </rPr>
      <t xml:space="preserve"> - Interprétation des bassins de déflexion d'essais FWD</t>
    </r>
  </si>
  <si>
    <t>mm</t>
  </si>
  <si>
    <t>MPa</t>
  </si>
  <si>
    <t>µm</t>
  </si>
  <si>
    <t>po</t>
  </si>
  <si>
    <t>Hz</t>
  </si>
  <si>
    <t>kN</t>
  </si>
  <si>
    <t>°C</t>
  </si>
  <si>
    <t>µε</t>
  </si>
  <si>
    <t>MÉCAS</t>
  </si>
  <si>
    <r>
      <t>H</t>
    </r>
    <r>
      <rPr>
        <vertAlign val="subscript"/>
        <sz val="11"/>
        <color theme="1"/>
        <rFont val="Calibri"/>
        <family val="2"/>
        <scheme val="minor"/>
      </rPr>
      <t>enrobé</t>
    </r>
  </si>
  <si>
    <r>
      <t>H</t>
    </r>
    <r>
      <rPr>
        <vertAlign val="subscript"/>
        <sz val="11"/>
        <color theme="1"/>
        <rFont val="Calibri"/>
        <family val="2"/>
        <scheme val="minor"/>
      </rPr>
      <t>fondation</t>
    </r>
  </si>
  <si>
    <r>
      <t>H</t>
    </r>
    <r>
      <rPr>
        <vertAlign val="subscript"/>
        <sz val="11"/>
        <color theme="1"/>
        <rFont val="Calibri"/>
        <family val="2"/>
        <scheme val="minor"/>
      </rPr>
      <t>sous-fondation</t>
    </r>
  </si>
  <si>
    <r>
      <t>E</t>
    </r>
    <r>
      <rPr>
        <vertAlign val="subscript"/>
        <sz val="11"/>
        <color theme="1"/>
        <rFont val="Calibri"/>
        <family val="2"/>
        <scheme val="minor"/>
      </rPr>
      <t>enrobé</t>
    </r>
  </si>
  <si>
    <r>
      <t>E</t>
    </r>
    <r>
      <rPr>
        <vertAlign val="subscript"/>
        <sz val="11"/>
        <color theme="1"/>
        <rFont val="Calibri"/>
        <family val="2"/>
        <scheme val="minor"/>
      </rPr>
      <t>fondation</t>
    </r>
  </si>
  <si>
    <r>
      <t>E</t>
    </r>
    <r>
      <rPr>
        <vertAlign val="subscript"/>
        <sz val="11"/>
        <color theme="1"/>
        <rFont val="Calibri"/>
        <family val="2"/>
        <scheme val="minor"/>
      </rPr>
      <t>infrastructure</t>
    </r>
  </si>
  <si>
    <t>Fréquence</t>
  </si>
  <si>
    <t>Force</t>
  </si>
  <si>
    <t>Rayon de la plaque</t>
  </si>
  <si>
    <t>Température de l'air</t>
  </si>
  <si>
    <t>Caractéristiques de la chaussée</t>
  </si>
  <si>
    <t>Chargement</t>
  </si>
  <si>
    <t>Déformations aux interfaces critiques</t>
  </si>
  <si>
    <t>Durée de vie estimée</t>
  </si>
  <si>
    <t>Fatigue</t>
  </si>
  <si>
    <t>Orniérage</t>
  </si>
  <si>
    <t>Bassin de déflexion</t>
  </si>
  <si>
    <t>Paramètres du bassin de déflexion</t>
  </si>
  <si>
    <t>εt (fatigue)</t>
  </si>
  <si>
    <t>εv (orniérage)</t>
  </si>
  <si>
    <t>Déflexion</t>
  </si>
  <si>
    <t>R</t>
  </si>
  <si>
    <t>A</t>
  </si>
  <si>
    <r>
      <t>SIS</t>
    </r>
    <r>
      <rPr>
        <vertAlign val="subscript"/>
        <sz val="11"/>
        <color theme="1"/>
        <rFont val="Calibri"/>
        <family val="2"/>
        <scheme val="minor"/>
      </rPr>
      <t>+100</t>
    </r>
  </si>
  <si>
    <t>Distance</t>
  </si>
  <si>
    <r>
      <rPr>
        <sz val="11"/>
        <color theme="1"/>
        <rFont val="Calibri"/>
        <family val="2"/>
      </rPr>
      <t>σ</t>
    </r>
    <r>
      <rPr>
        <vertAlign val="subscript"/>
        <sz val="11"/>
        <color theme="1"/>
        <rFont val="Calibri"/>
        <family val="2"/>
        <scheme val="minor"/>
      </rPr>
      <t>0</t>
    </r>
  </si>
  <si>
    <t>kPa</t>
  </si>
  <si>
    <t>Température</t>
  </si>
  <si>
    <t>Mode d'emploi</t>
  </si>
  <si>
    <t>SN</t>
  </si>
  <si>
    <t>Variable</t>
  </si>
  <si>
    <t>Description</t>
  </si>
  <si>
    <t>Unités</t>
  </si>
  <si>
    <t>Déformation en tension à la base du revêtement</t>
  </si>
  <si>
    <t>Déformation en compression au sommet du sol</t>
  </si>
  <si>
    <t>Indice de courbure de surface</t>
  </si>
  <si>
    <t>Épaisseur de l'enrobé</t>
  </si>
  <si>
    <t>Épaisseur de la fondation</t>
  </si>
  <si>
    <t>Épaisseur de la sous-fondation</t>
  </si>
  <si>
    <t>Module de l'enrobé</t>
  </si>
  <si>
    <t>Module de la fondation</t>
  </si>
  <si>
    <t>Module du sol d'infrastructure</t>
  </si>
  <si>
    <t>Contrainte en surface</t>
  </si>
  <si>
    <t>Indice structural de la structure de chaussée</t>
  </si>
  <si>
    <t>Indice structural du sol support</t>
  </si>
  <si>
    <t>Indice structural du sol support modifié</t>
  </si>
  <si>
    <t>Liste des variables</t>
  </si>
  <si>
    <t>Données à entrer</t>
  </si>
  <si>
    <t>Données calculées</t>
  </si>
  <si>
    <r>
      <t>Epsilon t (</t>
    </r>
    <r>
      <rPr>
        <sz val="11"/>
        <color theme="0"/>
        <rFont val="Calibri"/>
        <family val="2"/>
      </rPr>
      <t>µε)</t>
    </r>
  </si>
  <si>
    <r>
      <t>epsilon t (</t>
    </r>
    <r>
      <rPr>
        <sz val="11"/>
        <color theme="0"/>
        <rFont val="Calibri"/>
        <family val="2"/>
      </rPr>
      <t>με)</t>
    </r>
  </si>
  <si>
    <t>Références</t>
  </si>
  <si>
    <t>Bilodeau, J.-P. and Doré, G. 2012. Estimation of tensile strains at the bottom of asphalt concrete layers under wheel loading using deflection basins from falling weight deflectometer tests. Canadian Journal of Civil Engineering, Vol. 39: 771-778.</t>
  </si>
  <si>
    <t xml:space="preserve">Asphalt Institute 1991. Thickness design-asphalt pavements for highways and streets. Manual Series No. 1, Asphalt Institute. </t>
  </si>
  <si>
    <t>André, C. 2012. Détermination de données structurales des chaussées. Projet de fin d’études, Polytech-Grenoble, 50 p.</t>
  </si>
  <si>
    <t>Rhode. G. T. 1994. Determining a pavement structural number from FWD testing. TRB 73rd annual meeting, Preprint no. 940351, Transportation research Board, Washington, D.C.</t>
  </si>
  <si>
    <t>Saint-Laurent, D. 1995. Évaluation structurale de chaussées souples dans un contexte climatique nordique. Rapport GCS-85-05, Civil Engineering Department, Laval Université, Quebec City, Canada</t>
  </si>
  <si>
    <t xml:space="preserve">Jung, F. W. 1988. Direct calculation of maximum curvature and strain in asphalt concrete layers of pavement from load deflection basin measurements. Transportation research Record : Journal of the Transportation Research Board, No. 1196, Transportation research Board of the National Academies, Washington, D.C., pp. 125-132. </t>
  </si>
  <si>
    <t xml:space="preserve">Doré, G. and Zubeck, H. 2008. Cold regions pavement engineering. McGraw-Hill, NY. </t>
  </si>
  <si>
    <t>Huang, Y.H. 2004. Pavement analysis and design. Pearson Prentice Hall, New Jersey.</t>
  </si>
  <si>
    <t>Doucet, F. et Auger, B. 2010. Détermination du module complexe des enrobés au Ministère des Transports du Québec. Rapport Études et Recherche en Transports RTQ-10-01, Service des matériaux d'infrastructures, Direction du laboratoire des chaussées, Ministère des Transports du Québec, 151 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</si>
</sst>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7" x14ac:knownFonts="1">
    <font>
      <sz val="11"/>
      <color theme="1"/>
      <name val="Calibri"/>
      <family val="2"/>
      <scheme val="minor"/>
    </font>
    <font>
      <b/>
      <sz val="11"/>
      <color theme="1"/>
      <name val="Calibri"/>
      <family val="2"/>
      <scheme val="minor"/>
    </font>
    <font>
      <sz val="11"/>
      <color theme="1"/>
      <name val="Calibri"/>
      <family val="2"/>
    </font>
    <font>
      <sz val="9"/>
      <color indexed="81"/>
      <name val="Tahoma"/>
      <family val="2"/>
    </font>
    <font>
      <b/>
      <sz val="9"/>
      <color indexed="81"/>
      <name val="Tahoma"/>
      <family val="2"/>
    </font>
    <font>
      <sz val="11"/>
      <color rgb="FFFF0000"/>
      <name val="Calibri"/>
      <family val="2"/>
      <scheme val="minor"/>
    </font>
    <font>
      <b/>
      <sz val="20"/>
      <color theme="1"/>
      <name val="Calibri"/>
      <family val="2"/>
      <scheme val="minor"/>
    </font>
    <font>
      <b/>
      <vertAlign val="superscript"/>
      <sz val="20"/>
      <color theme="1"/>
      <name val="Calibri"/>
      <family val="2"/>
      <scheme val="minor"/>
    </font>
    <font>
      <vertAlign val="subscript"/>
      <sz val="11"/>
      <color theme="1"/>
      <name val="Calibri"/>
      <family val="2"/>
      <scheme val="minor"/>
    </font>
    <font>
      <b/>
      <sz val="12"/>
      <color theme="1"/>
      <name val="Calibri"/>
      <family val="2"/>
      <scheme val="minor"/>
    </font>
    <font>
      <b/>
      <sz val="14"/>
      <color theme="0"/>
      <name val="Calibri"/>
      <family val="2"/>
      <scheme val="minor"/>
    </font>
    <font>
      <sz val="11"/>
      <color theme="1"/>
      <name val="Times New Roman"/>
      <family val="1"/>
    </font>
    <font>
      <sz val="11"/>
      <name val="Calibri"/>
      <family val="2"/>
      <scheme val="minor"/>
    </font>
    <font>
      <b/>
      <sz val="11"/>
      <color theme="0"/>
      <name val="Calibri"/>
      <family val="2"/>
      <scheme val="minor"/>
    </font>
    <font>
      <sz val="11"/>
      <color theme="0"/>
      <name val="Calibri"/>
      <family val="2"/>
      <scheme val="minor"/>
    </font>
    <font>
      <sz val="11"/>
      <color theme="0"/>
      <name val="Calibri"/>
      <family val="2"/>
    </font>
    <font>
      <i/>
      <sz val="11"/>
      <color theme="0"/>
      <name val="Calibri"/>
      <family val="2"/>
      <scheme val="minor"/>
    </font>
  </fonts>
  <fills count="8">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86">
    <xf numFmtId="0" fontId="0" fillId="0" borderId="0" xfId="0"/>
    <xf numFmtId="0" fontId="0" fillId="0" borderId="0" xfId="0"/>
    <xf numFmtId="0" fontId="0" fillId="0" borderId="0" xfId="0" applyBorder="1"/>
    <xf numFmtId="0" fontId="0" fillId="0" borderId="0" xfId="0" applyFill="1" applyBorder="1"/>
    <xf numFmtId="0" fontId="6" fillId="0" borderId="0" xfId="0" applyFont="1" applyAlignment="1">
      <alignment vertical="center"/>
    </xf>
    <xf numFmtId="0" fontId="1" fillId="0" borderId="0" xfId="0" applyFont="1" applyFill="1" applyBorder="1" applyAlignment="1"/>
    <xf numFmtId="0" fontId="0" fillId="0" borderId="0" xfId="0" applyFill="1" applyBorder="1" applyAlignment="1"/>
    <xf numFmtId="0" fontId="1" fillId="2" borderId="3" xfId="0" applyFont="1" applyFill="1" applyBorder="1" applyAlignment="1"/>
    <xf numFmtId="0" fontId="0" fillId="0" borderId="15" xfId="0" applyBorder="1"/>
    <xf numFmtId="0" fontId="0" fillId="0" borderId="6" xfId="0" applyBorder="1"/>
    <xf numFmtId="0" fontId="0" fillId="0" borderId="0" xfId="0" applyBorder="1" applyAlignment="1">
      <alignment horizontal="center"/>
    </xf>
    <xf numFmtId="0" fontId="2" fillId="0" borderId="0" xfId="0" applyFont="1" applyBorder="1" applyAlignment="1">
      <alignment horizontal="center" vertical="center"/>
    </xf>
    <xf numFmtId="0" fontId="0" fillId="0" borderId="16" xfId="0" applyBorder="1"/>
    <xf numFmtId="0" fontId="0" fillId="0" borderId="4" xfId="0" applyFill="1" applyBorder="1"/>
    <xf numFmtId="0" fontId="1" fillId="2" borderId="2" xfId="0" applyFont="1" applyFill="1" applyBorder="1" applyAlignment="1"/>
    <xf numFmtId="0" fontId="1" fillId="2" borderId="3" xfId="0" applyFont="1" applyFill="1" applyBorder="1"/>
    <xf numFmtId="0" fontId="1" fillId="2" borderId="14" xfId="0" applyFont="1" applyFill="1" applyBorder="1" applyAlignment="1">
      <alignment horizontal="center"/>
    </xf>
    <xf numFmtId="0" fontId="0" fillId="2" borderId="10" xfId="0" applyFill="1" applyBorder="1"/>
    <xf numFmtId="0" fontId="0" fillId="0" borderId="4" xfId="0" applyBorder="1"/>
    <xf numFmtId="0" fontId="1" fillId="2" borderId="2" xfId="0" applyFont="1" applyFill="1" applyBorder="1" applyAlignment="1">
      <alignment horizontal="center"/>
    </xf>
    <xf numFmtId="0" fontId="0" fillId="2" borderId="3" xfId="0" applyFill="1" applyBorder="1"/>
    <xf numFmtId="0" fontId="0" fillId="0" borderId="10" xfId="0" applyBorder="1"/>
    <xf numFmtId="0" fontId="0" fillId="0" borderId="16" xfId="0" applyBorder="1" applyAlignment="1">
      <alignment horizontal="center" vertical="center"/>
    </xf>
    <xf numFmtId="0" fontId="2" fillId="0" borderId="16" xfId="0" applyFont="1" applyBorder="1"/>
    <xf numFmtId="0" fontId="2" fillId="0" borderId="4" xfId="0" applyFont="1" applyBorder="1"/>
    <xf numFmtId="0" fontId="0" fillId="0" borderId="15" xfId="0" applyFill="1" applyBorder="1"/>
    <xf numFmtId="0" fontId="0" fillId="0" borderId="16" xfId="0" applyFill="1" applyBorder="1"/>
    <xf numFmtId="0" fontId="0" fillId="0" borderId="0" xfId="0" applyFill="1" applyBorder="1" applyAlignment="1">
      <alignment textRotation="180"/>
    </xf>
    <xf numFmtId="0" fontId="0" fillId="2" borderId="2" xfId="0" applyFill="1" applyBorder="1"/>
    <xf numFmtId="0" fontId="0" fillId="0" borderId="9" xfId="0" applyBorder="1"/>
    <xf numFmtId="0" fontId="0" fillId="0" borderId="6" xfId="0" applyFill="1" applyBorder="1"/>
    <xf numFmtId="0" fontId="9" fillId="2" borderId="9" xfId="0" applyFont="1" applyFill="1" applyBorder="1" applyAlignment="1"/>
    <xf numFmtId="0" fontId="9" fillId="2" borderId="1" xfId="0" applyFont="1" applyFill="1" applyBorder="1" applyAlignment="1"/>
    <xf numFmtId="0" fontId="9" fillId="2" borderId="1" xfId="0" applyFont="1" applyFill="1" applyBorder="1"/>
    <xf numFmtId="0" fontId="9" fillId="2" borderId="2" xfId="0" applyFont="1" applyFill="1" applyBorder="1" applyAlignment="1"/>
    <xf numFmtId="0" fontId="9" fillId="2" borderId="3" xfId="0" applyFont="1" applyFill="1" applyBorder="1" applyAlignment="1"/>
    <xf numFmtId="0" fontId="10" fillId="4" borderId="9" xfId="0" applyFont="1" applyFill="1" applyBorder="1"/>
    <xf numFmtId="0" fontId="10" fillId="4" borderId="14" xfId="0" applyFont="1" applyFill="1" applyBorder="1"/>
    <xf numFmtId="0" fontId="10" fillId="4" borderId="10" xfId="0" applyFont="1" applyFill="1" applyBorder="1"/>
    <xf numFmtId="0" fontId="0" fillId="5" borderId="16" xfId="0" applyFill="1" applyBorder="1"/>
    <xf numFmtId="0" fontId="0" fillId="5" borderId="0" xfId="0" applyFill="1" applyBorder="1"/>
    <xf numFmtId="0" fontId="0" fillId="5" borderId="15" xfId="0" applyFill="1" applyBorder="1"/>
    <xf numFmtId="0" fontId="0" fillId="0" borderId="5" xfId="0" applyFill="1" applyBorder="1"/>
    <xf numFmtId="0" fontId="11" fillId="0" borderId="0" xfId="0" applyFont="1" applyFill="1" applyBorder="1"/>
    <xf numFmtId="0" fontId="6" fillId="0" borderId="0" xfId="0" applyFont="1" applyFill="1" applyBorder="1"/>
    <xf numFmtId="0" fontId="0" fillId="6" borderId="5" xfId="0" applyFill="1" applyBorder="1" applyAlignment="1" applyProtection="1">
      <alignment horizontal="center"/>
      <protection locked="0"/>
    </xf>
    <xf numFmtId="0" fontId="0" fillId="6" borderId="0" xfId="0" applyFill="1" applyBorder="1" applyAlignment="1" applyProtection="1">
      <alignment horizontal="center"/>
      <protection locked="0"/>
    </xf>
    <xf numFmtId="0" fontId="0" fillId="6" borderId="16" xfId="0" applyFont="1" applyFill="1" applyBorder="1" applyAlignment="1" applyProtection="1">
      <alignment horizontal="center" vertical="center"/>
      <protection locked="0"/>
    </xf>
    <xf numFmtId="164" fontId="0" fillId="6" borderId="0" xfId="0" applyNumberFormat="1" applyFill="1" applyBorder="1" applyAlignment="1" applyProtection="1">
      <alignment horizontal="center" vertical="center"/>
      <protection locked="0"/>
    </xf>
    <xf numFmtId="0" fontId="0" fillId="6" borderId="4" xfId="0" applyFont="1" applyFill="1" applyBorder="1" applyAlignment="1" applyProtection="1">
      <alignment horizontal="center" vertical="center"/>
      <protection locked="0"/>
    </xf>
    <xf numFmtId="164" fontId="0" fillId="6" borderId="5" xfId="0" applyNumberFormat="1" applyFill="1" applyBorder="1" applyAlignment="1" applyProtection="1">
      <alignment horizontal="center" vertical="center"/>
      <protection locked="0"/>
    </xf>
    <xf numFmtId="0" fontId="0" fillId="6" borderId="14" xfId="0" applyFill="1" applyBorder="1" applyAlignment="1" applyProtection="1">
      <alignment horizontal="center"/>
      <protection locked="0"/>
    </xf>
    <xf numFmtId="165" fontId="12" fillId="7" borderId="0" xfId="0" applyNumberFormat="1" applyFont="1" applyFill="1" applyBorder="1" applyAlignment="1">
      <alignment horizontal="center"/>
    </xf>
    <xf numFmtId="165" fontId="12" fillId="7" borderId="5" xfId="0" applyNumberFormat="1" applyFont="1" applyFill="1" applyBorder="1" applyAlignment="1">
      <alignment horizontal="center"/>
    </xf>
    <xf numFmtId="164" fontId="5" fillId="7" borderId="0" xfId="0" applyNumberFormat="1" applyFont="1" applyFill="1" applyBorder="1" applyAlignment="1">
      <alignment horizontal="center"/>
    </xf>
    <xf numFmtId="164" fontId="5" fillId="7" borderId="5" xfId="0" applyNumberFormat="1" applyFont="1" applyFill="1" applyBorder="1" applyAlignment="1">
      <alignment horizontal="center"/>
    </xf>
    <xf numFmtId="164" fontId="12" fillId="7" borderId="5" xfId="0" applyNumberFormat="1" applyFont="1" applyFill="1" applyBorder="1" applyAlignment="1">
      <alignment horizontal="center"/>
    </xf>
    <xf numFmtId="164" fontId="12" fillId="7" borderId="0" xfId="0" applyNumberFormat="1" applyFont="1" applyFill="1" applyBorder="1" applyAlignment="1">
      <alignment horizontal="center"/>
    </xf>
    <xf numFmtId="164" fontId="12" fillId="7" borderId="0" xfId="0" applyNumberFormat="1" applyFont="1" applyFill="1" applyBorder="1" applyAlignment="1">
      <alignment horizontal="center" vertical="center"/>
    </xf>
    <xf numFmtId="1" fontId="12" fillId="7" borderId="0" xfId="0" applyNumberFormat="1" applyFont="1" applyFill="1" applyBorder="1" applyAlignment="1">
      <alignment horizontal="center"/>
    </xf>
    <xf numFmtId="0" fontId="14" fillId="0" borderId="0" xfId="0" applyFont="1" applyFill="1"/>
    <xf numFmtId="0" fontId="14" fillId="0" borderId="0" xfId="0" applyFont="1" applyFill="1" applyBorder="1"/>
    <xf numFmtId="0" fontId="16" fillId="0" borderId="0" xfId="0" applyFont="1" applyFill="1"/>
    <xf numFmtId="0" fontId="14" fillId="0" borderId="11" xfId="0" applyFont="1" applyFill="1" applyBorder="1"/>
    <xf numFmtId="0" fontId="14" fillId="0" borderId="13" xfId="0" applyFont="1" applyFill="1" applyBorder="1"/>
    <xf numFmtId="0" fontId="14" fillId="0" borderId="12" xfId="0" applyFont="1" applyFill="1" applyBorder="1"/>
    <xf numFmtId="0" fontId="14" fillId="0" borderId="8" xfId="0" applyFont="1" applyFill="1" applyBorder="1"/>
    <xf numFmtId="0" fontId="14" fillId="0" borderId="7" xfId="0" applyFont="1" applyFill="1" applyBorder="1"/>
    <xf numFmtId="0" fontId="14" fillId="0" borderId="0" xfId="0" applyFont="1" applyFill="1" applyBorder="1" applyAlignment="1">
      <alignment horizontal="right"/>
    </xf>
    <xf numFmtId="0" fontId="13" fillId="0" borderId="0" xfId="0" applyFont="1" applyFill="1" applyBorder="1"/>
    <xf numFmtId="0" fontId="0" fillId="0" borderId="0" xfId="0" applyAlignment="1">
      <alignment wrapText="1"/>
    </xf>
    <xf numFmtId="0" fontId="0" fillId="5" borderId="0" xfId="0" applyFill="1" applyAlignment="1">
      <alignment wrapText="1"/>
    </xf>
    <xf numFmtId="0" fontId="0" fillId="5" borderId="0" xfId="0" applyFill="1" applyAlignment="1">
      <alignment horizontal="left" wrapText="1"/>
    </xf>
    <xf numFmtId="0" fontId="10" fillId="4" borderId="0" xfId="0" applyFont="1" applyFill="1"/>
    <xf numFmtId="0" fontId="1" fillId="0" borderId="0" xfId="0" applyFont="1" applyAlignment="1">
      <alignment horizont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0" fillId="6" borderId="9" xfId="0" applyFont="1" applyFill="1" applyBorder="1" applyAlignment="1">
      <alignment horizontal="center"/>
    </xf>
    <xf numFmtId="0" fontId="0" fillId="6" borderId="10" xfId="0" applyFont="1" applyFill="1" applyBorder="1" applyAlignment="1">
      <alignment horizontal="center"/>
    </xf>
    <xf numFmtId="0" fontId="12" fillId="7" borderId="17" xfId="0" applyFont="1" applyFill="1" applyBorder="1" applyAlignment="1">
      <alignment horizontal="center"/>
    </xf>
    <xf numFmtId="0" fontId="12" fillId="7" borderId="18"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Alignment="1"/>
    <xf numFmtId="0" fontId="14" fillId="0" borderId="0" xfId="0" applyFont="1" applyFill="1" applyBorder="1" applyAlignment="1"/>
    <xf numFmtId="0" fontId="14" fillId="0" borderId="0" xfId="0" applyNumberFormat="1" applyFont="1" applyFill="1" applyBorder="1" applyAlignment="1">
      <alignment vertical="center"/>
    </xf>
    <xf numFmtId="0" fontId="14" fillId="0" borderId="0" xfId="0" applyFont="1" applyFill="1" applyBorder="1" applyAlignment="1">
      <alignment vertical="top"/>
    </xf>
  </cellXfs>
  <cellStyles count="1">
    <cellStyle name="Normal" xfId="0" builtinId="0"/>
  </cellStyles>
  <dxfs count="6">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alcChain" Target="calcChain.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smoothMarker"/>
        <c:varyColors val="0"/>
        <c:ser>
          <c:idx val="0"/>
          <c:order val="0"/>
          <c:tx>
            <c:strRef>
              <c:f>'Paramètres d''entrée'!$A$14</c:f>
              <c:strCache>
                <c:ptCount val="1"/>
                <c:pt idx="0">
                  <c:v>Bassin de déflexion</c:v>
                </c:pt>
              </c:strCache>
            </c:strRef>
          </c:tx>
          <c:spPr>
            <a:ln w="44450"/>
          </c:spPr>
          <c:marker>
            <c:symbol val="circle"/>
            <c:size val="5"/>
          </c:marker>
          <c:xVal>
            <c:numRef>
              <c:f>'Paramètres d''entrée'!$A$16:$A$24</c:f>
              <c:numCache>
                <c:formatCode>General</c:formatCode>
                <c:ptCount val="9"/>
                <c:pt idx="0">
                  <c:v>0</c:v>
                </c:pt>
                <c:pt idx="1">
                  <c:v>200</c:v>
                </c:pt>
                <c:pt idx="2">
                  <c:v>300</c:v>
                </c:pt>
                <c:pt idx="3">
                  <c:v>450</c:v>
                </c:pt>
                <c:pt idx="4">
                  <c:v>600</c:v>
                </c:pt>
                <c:pt idx="5">
                  <c:v>750</c:v>
                </c:pt>
                <c:pt idx="6">
                  <c:v>900</c:v>
                </c:pt>
                <c:pt idx="7">
                  <c:v>1200</c:v>
                </c:pt>
                <c:pt idx="8">
                  <c:v>1500</c:v>
                </c:pt>
              </c:numCache>
            </c:numRef>
          </c:xVal>
          <c:yVal>
            <c:numRef>
              <c:f>'Paramètres d''entrée'!$B$16:$B$24</c:f>
              <c:numCache>
                <c:formatCode>0.0</c:formatCode>
                <c:ptCount val="9"/>
                <c:pt idx="0">
                  <c:v>333</c:v>
                </c:pt>
                <c:pt idx="1">
                  <c:v>259</c:v>
                </c:pt>
                <c:pt idx="2">
                  <c:v>211</c:v>
                </c:pt>
                <c:pt idx="3">
                  <c:v>157</c:v>
                </c:pt>
                <c:pt idx="4">
                  <c:v>116</c:v>
                </c:pt>
                <c:pt idx="5">
                  <c:v>86.4</c:v>
                </c:pt>
                <c:pt idx="6">
                  <c:v>67.2</c:v>
                </c:pt>
                <c:pt idx="7">
                  <c:v>44.1</c:v>
                </c:pt>
                <c:pt idx="8">
                  <c:v>31.9</c:v>
                </c:pt>
              </c:numCache>
            </c:numRef>
          </c:yVal>
          <c:smooth val="1"/>
        </c:ser>
        <c:dLbls>
          <c:showLegendKey val="0"/>
          <c:showVal val="0"/>
          <c:showCatName val="0"/>
          <c:showSerName val="0"/>
          <c:showPercent val="0"/>
          <c:showBubbleSize val="0"/>
        </c:dLbls>
        <c:axId val="152790144"/>
        <c:axId val="152792064"/>
      </c:scatterChart>
      <c:scatterChart>
        <c:scatterStyle val="lineMarker"/>
        <c:varyColors val="0"/>
        <c:ser>
          <c:idx val="1"/>
          <c:order val="1"/>
          <c:tx>
            <c:v>Déflexion à 1,5*Hp</c:v>
          </c:tx>
          <c:spPr>
            <a:ln w="28575">
              <a:noFill/>
            </a:ln>
          </c:spPr>
          <c:marker>
            <c:symbol val="x"/>
            <c:size val="10"/>
            <c:spPr>
              <a:ln w="38100">
                <a:solidFill>
                  <a:srgbClr val="FF0000"/>
                </a:solidFill>
              </a:ln>
            </c:spPr>
          </c:marker>
          <c:dLbls>
            <c:dLbl>
              <c:idx val="0"/>
              <c:layout>
                <c:manualLayout>
                  <c:x val="8.6208300430312634E-2"/>
                  <c:y val="0.16962029789053096"/>
                </c:manualLayout>
              </c:layout>
              <c:dLblPos val="r"/>
              <c:showLegendKey val="0"/>
              <c:showVal val="1"/>
              <c:showCatName val="1"/>
              <c:showSerName val="0"/>
              <c:showPercent val="0"/>
              <c:showBubbleSize val="0"/>
            </c:dLbl>
            <c:numFmt formatCode="#,##0.00" sourceLinked="0"/>
            <c:spPr>
              <a:solidFill>
                <a:srgbClr val="FF0000"/>
              </a:solidFill>
            </c:spPr>
            <c:txPr>
              <a:bodyPr/>
              <a:lstStyle/>
              <a:p>
                <a:pPr>
                  <a:defRPr sz="1100"/>
                </a:pPr>
                <a:endParaRPr lang="fr-FR"/>
              </a:p>
            </c:txPr>
            <c:dLblPos val="b"/>
            <c:showLegendKey val="0"/>
            <c:showVal val="1"/>
            <c:showCatName val="1"/>
            <c:showSerName val="0"/>
            <c:showPercent val="0"/>
            <c:showBubbleSize val="0"/>
            <c:showLeaderLines val="0"/>
          </c:dLbls>
          <c:xVal>
            <c:numRef>
              <c:f>Calcul!$G$9</c:f>
              <c:numCache>
                <c:formatCode>General</c:formatCode>
                <c:ptCount val="1"/>
                <c:pt idx="0">
                  <c:v>1200</c:v>
                </c:pt>
              </c:numCache>
            </c:numRef>
          </c:xVal>
          <c:yVal>
            <c:numRef>
              <c:f>Calcul!$B$5</c:f>
              <c:numCache>
                <c:formatCode>General</c:formatCode>
                <c:ptCount val="1"/>
                <c:pt idx="0">
                  <c:v>44.1</c:v>
                </c:pt>
              </c:numCache>
            </c:numRef>
          </c:yVal>
          <c:smooth val="0"/>
        </c:ser>
        <c:ser>
          <c:idx val="2"/>
          <c:order val="2"/>
          <c:tx>
            <c:v>Déflexion à 1,5*Hp+100mm</c:v>
          </c:tx>
          <c:spPr>
            <a:ln w="28575">
              <a:noFill/>
            </a:ln>
          </c:spPr>
          <c:marker>
            <c:symbol val="x"/>
            <c:size val="10"/>
            <c:spPr>
              <a:ln w="44450">
                <a:solidFill>
                  <a:srgbClr val="00B050"/>
                </a:solidFill>
              </a:ln>
            </c:spPr>
          </c:marker>
          <c:dLbls>
            <c:dLbl>
              <c:idx val="0"/>
              <c:layout>
                <c:manualLayout>
                  <c:x val="-7.6567672683697963E-2"/>
                  <c:y val="0.28716452230214745"/>
                </c:manualLayout>
              </c:layout>
              <c:numFmt formatCode="#,##0.00" sourceLinked="0"/>
              <c:spPr>
                <a:solidFill>
                  <a:srgbClr val="00B050"/>
                </a:solidFill>
              </c:spPr>
              <c:txPr>
                <a:bodyPr/>
                <a:lstStyle/>
                <a:p>
                  <a:pPr>
                    <a:defRPr sz="1100"/>
                  </a:pPr>
                  <a:endParaRPr lang="fr-FR"/>
                </a:p>
              </c:txPr>
              <c:dLblPos val="r"/>
              <c:showLegendKey val="0"/>
              <c:showVal val="1"/>
              <c:showCatName val="1"/>
              <c:showSerName val="0"/>
              <c:showPercent val="0"/>
              <c:showBubbleSize val="0"/>
            </c:dLbl>
            <c:numFmt formatCode="#,##0.00" sourceLinked="0"/>
            <c:txPr>
              <a:bodyPr/>
              <a:lstStyle/>
              <a:p>
                <a:pPr>
                  <a:defRPr sz="1100"/>
                </a:pPr>
                <a:endParaRPr lang="fr-FR"/>
              </a:p>
            </c:txPr>
            <c:dLblPos val="r"/>
            <c:showLegendKey val="0"/>
            <c:showVal val="1"/>
            <c:showCatName val="1"/>
            <c:showSerName val="0"/>
            <c:showPercent val="0"/>
            <c:showBubbleSize val="0"/>
            <c:showLeaderLines val="0"/>
          </c:dLbls>
          <c:xVal>
            <c:numRef>
              <c:f>Calcul!$G$10</c:f>
              <c:numCache>
                <c:formatCode>General</c:formatCode>
                <c:ptCount val="1"/>
                <c:pt idx="0">
                  <c:v>1300</c:v>
                </c:pt>
              </c:numCache>
            </c:numRef>
          </c:xVal>
          <c:yVal>
            <c:numRef>
              <c:f>Calcul!$B$6</c:f>
              <c:numCache>
                <c:formatCode>General</c:formatCode>
                <c:ptCount val="1"/>
                <c:pt idx="0">
                  <c:v>40.033333333333331</c:v>
                </c:pt>
              </c:numCache>
            </c:numRef>
          </c:yVal>
          <c:smooth val="0"/>
        </c:ser>
        <c:dLbls>
          <c:showLegendKey val="0"/>
          <c:showVal val="0"/>
          <c:showCatName val="0"/>
          <c:showSerName val="0"/>
          <c:showPercent val="0"/>
          <c:showBubbleSize val="0"/>
        </c:dLbls>
        <c:axId val="152790144"/>
        <c:axId val="152792064"/>
      </c:scatterChart>
      <c:valAx>
        <c:axId val="152790144"/>
        <c:scaling>
          <c:orientation val="minMax"/>
        </c:scaling>
        <c:delete val="0"/>
        <c:axPos val="t"/>
        <c:title>
          <c:tx>
            <c:rich>
              <a:bodyPr/>
              <a:lstStyle/>
              <a:p>
                <a:pPr>
                  <a:defRPr sz="1400"/>
                </a:pPr>
                <a:r>
                  <a:rPr lang="fr-FR" sz="1400"/>
                  <a:t>Distance du centre de la plaque (mm)</a:t>
                </a:r>
              </a:p>
            </c:rich>
          </c:tx>
          <c:layout/>
          <c:overlay val="0"/>
        </c:title>
        <c:numFmt formatCode="General" sourceLinked="1"/>
        <c:majorTickMark val="out"/>
        <c:minorTickMark val="none"/>
        <c:tickLblPos val="nextTo"/>
        <c:txPr>
          <a:bodyPr/>
          <a:lstStyle/>
          <a:p>
            <a:pPr>
              <a:defRPr sz="1400"/>
            </a:pPr>
            <a:endParaRPr lang="fr-FR"/>
          </a:p>
        </c:txPr>
        <c:crossAx val="152792064"/>
        <c:crosses val="autoZero"/>
        <c:crossBetween val="midCat"/>
      </c:valAx>
      <c:valAx>
        <c:axId val="152792064"/>
        <c:scaling>
          <c:orientation val="maxMin"/>
        </c:scaling>
        <c:delete val="0"/>
        <c:axPos val="l"/>
        <c:majorGridlines/>
        <c:title>
          <c:tx>
            <c:rich>
              <a:bodyPr rot="-5400000" vert="horz"/>
              <a:lstStyle/>
              <a:p>
                <a:pPr>
                  <a:defRPr sz="1400"/>
                </a:pPr>
                <a:r>
                  <a:rPr lang="en-US" sz="1400"/>
                  <a:t>Déflexion (</a:t>
                </a:r>
                <a:r>
                  <a:rPr lang="el-GR" sz="1400" b="1" i="0" u="none" strike="noStrike" baseline="0"/>
                  <a:t>μ</a:t>
                </a:r>
                <a:r>
                  <a:rPr lang="fr-FR" sz="1400" b="1" i="0" u="none" strike="noStrike" baseline="0"/>
                  <a:t>m</a:t>
                </a:r>
                <a:r>
                  <a:rPr lang="en-US" sz="1400"/>
                  <a:t>)</a:t>
                </a:r>
              </a:p>
            </c:rich>
          </c:tx>
          <c:layout/>
          <c:overlay val="0"/>
        </c:title>
        <c:numFmt formatCode="0.0" sourceLinked="1"/>
        <c:majorTickMark val="out"/>
        <c:minorTickMark val="none"/>
        <c:tickLblPos val="nextTo"/>
        <c:txPr>
          <a:bodyPr/>
          <a:lstStyle/>
          <a:p>
            <a:pPr>
              <a:defRPr sz="1400"/>
            </a:pPr>
            <a:endParaRPr lang="fr-FR"/>
          </a:p>
        </c:txPr>
        <c:crossAx val="152790144"/>
        <c:crosses val="autoZero"/>
        <c:crossBetween val="midCat"/>
      </c:valAx>
    </c:plotArea>
    <c:legend>
      <c:legendPos val="r"/>
      <c:layout>
        <c:manualLayout>
          <c:xMode val="edge"/>
          <c:yMode val="edge"/>
          <c:x val="0.44420725952179196"/>
          <c:y val="0.77443040081084968"/>
          <c:w val="0.4754526078745579"/>
          <c:h val="0.1550035928506055"/>
        </c:manualLayout>
      </c:layout>
      <c:overlay val="1"/>
      <c:spPr>
        <a:solidFill>
          <a:schemeClr val="bg1"/>
        </a:solidFill>
        <a:ln>
          <a:solidFill>
            <a:schemeClr val="tx1"/>
          </a:solidFill>
        </a:ln>
      </c:spPr>
      <c:txPr>
        <a:bodyPr/>
        <a:lstStyle/>
        <a:p>
          <a:pPr>
            <a:defRPr sz="1200"/>
          </a:pPr>
          <a:endParaRPr lang="fr-FR"/>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Bassin de déflexion</a:t>
            </a:r>
          </a:p>
        </c:rich>
      </c:tx>
      <c:layout/>
      <c:overlay val="0"/>
    </c:title>
    <c:autoTitleDeleted val="0"/>
    <c:plotArea>
      <c:layout/>
      <c:scatterChart>
        <c:scatterStyle val="smoothMarker"/>
        <c:varyColors val="0"/>
        <c:ser>
          <c:idx val="0"/>
          <c:order val="0"/>
          <c:tx>
            <c:strRef>
              <c:f>'Paramètres d''entrée'!$A$14</c:f>
              <c:strCache>
                <c:ptCount val="1"/>
                <c:pt idx="0">
                  <c:v>Bassin de déflexion</c:v>
                </c:pt>
              </c:strCache>
            </c:strRef>
          </c:tx>
          <c:spPr>
            <a:ln w="44450"/>
          </c:spPr>
          <c:xVal>
            <c:numRef>
              <c:f>'Paramètres d''entrée'!$A$16:$A$24</c:f>
              <c:numCache>
                <c:formatCode>General</c:formatCode>
                <c:ptCount val="9"/>
                <c:pt idx="0">
                  <c:v>0</c:v>
                </c:pt>
                <c:pt idx="1">
                  <c:v>200</c:v>
                </c:pt>
                <c:pt idx="2">
                  <c:v>300</c:v>
                </c:pt>
                <c:pt idx="3">
                  <c:v>450</c:v>
                </c:pt>
                <c:pt idx="4">
                  <c:v>600</c:v>
                </c:pt>
                <c:pt idx="5">
                  <c:v>750</c:v>
                </c:pt>
                <c:pt idx="6">
                  <c:v>900</c:v>
                </c:pt>
                <c:pt idx="7">
                  <c:v>1200</c:v>
                </c:pt>
                <c:pt idx="8">
                  <c:v>1500</c:v>
                </c:pt>
              </c:numCache>
            </c:numRef>
          </c:xVal>
          <c:yVal>
            <c:numRef>
              <c:f>'Paramètres d''entrée'!$B$16:$B$24</c:f>
              <c:numCache>
                <c:formatCode>0.0</c:formatCode>
                <c:ptCount val="9"/>
                <c:pt idx="0">
                  <c:v>333</c:v>
                </c:pt>
                <c:pt idx="1">
                  <c:v>259</c:v>
                </c:pt>
                <c:pt idx="2">
                  <c:v>211</c:v>
                </c:pt>
                <c:pt idx="3">
                  <c:v>157</c:v>
                </c:pt>
                <c:pt idx="4">
                  <c:v>116</c:v>
                </c:pt>
                <c:pt idx="5">
                  <c:v>86.4</c:v>
                </c:pt>
                <c:pt idx="6">
                  <c:v>67.2</c:v>
                </c:pt>
                <c:pt idx="7">
                  <c:v>44.1</c:v>
                </c:pt>
                <c:pt idx="8">
                  <c:v>31.9</c:v>
                </c:pt>
              </c:numCache>
            </c:numRef>
          </c:yVal>
          <c:smooth val="1"/>
        </c:ser>
        <c:dLbls>
          <c:showLegendKey val="0"/>
          <c:showVal val="0"/>
          <c:showCatName val="0"/>
          <c:showSerName val="0"/>
          <c:showPercent val="0"/>
          <c:showBubbleSize val="0"/>
        </c:dLbls>
        <c:axId val="152734720"/>
        <c:axId val="152740992"/>
      </c:scatterChart>
      <c:scatterChart>
        <c:scatterStyle val="lineMarker"/>
        <c:varyColors val="0"/>
        <c:ser>
          <c:idx val="1"/>
          <c:order val="1"/>
          <c:tx>
            <c:v>Déflexion à 1,5*Hp</c:v>
          </c:tx>
          <c:spPr>
            <a:ln w="28575">
              <a:noFill/>
            </a:ln>
          </c:spPr>
          <c:marker>
            <c:symbol val="x"/>
            <c:size val="10"/>
            <c:spPr>
              <a:ln w="38100">
                <a:solidFill>
                  <a:srgbClr val="FF0000"/>
                </a:solidFill>
              </a:ln>
            </c:spPr>
          </c:marker>
          <c:dLbls>
            <c:numFmt formatCode="#,##0.00" sourceLinked="0"/>
            <c:txPr>
              <a:bodyPr/>
              <a:lstStyle/>
              <a:p>
                <a:pPr>
                  <a:defRPr sz="1100"/>
                </a:pPr>
                <a:endParaRPr lang="fr-FR"/>
              </a:p>
            </c:txPr>
            <c:dLblPos val="b"/>
            <c:showLegendKey val="0"/>
            <c:showVal val="1"/>
            <c:showCatName val="1"/>
            <c:showSerName val="0"/>
            <c:showPercent val="0"/>
            <c:showBubbleSize val="0"/>
            <c:showLeaderLines val="0"/>
          </c:dLbls>
          <c:xVal>
            <c:numRef>
              <c:f>Calcul!$G$9</c:f>
              <c:numCache>
                <c:formatCode>General</c:formatCode>
                <c:ptCount val="1"/>
                <c:pt idx="0">
                  <c:v>1200</c:v>
                </c:pt>
              </c:numCache>
            </c:numRef>
          </c:xVal>
          <c:yVal>
            <c:numRef>
              <c:f>Calcul!$B$5</c:f>
              <c:numCache>
                <c:formatCode>General</c:formatCode>
                <c:ptCount val="1"/>
                <c:pt idx="0">
                  <c:v>44.1</c:v>
                </c:pt>
              </c:numCache>
            </c:numRef>
          </c:yVal>
          <c:smooth val="0"/>
        </c:ser>
        <c:ser>
          <c:idx val="2"/>
          <c:order val="2"/>
          <c:tx>
            <c:v>Déflexion à 1,5*Hp+100mm</c:v>
          </c:tx>
          <c:spPr>
            <a:ln w="28575">
              <a:noFill/>
            </a:ln>
          </c:spPr>
          <c:marker>
            <c:symbol val="x"/>
            <c:size val="10"/>
            <c:spPr>
              <a:ln w="44450">
                <a:solidFill>
                  <a:srgbClr val="00B050"/>
                </a:solidFill>
              </a:ln>
            </c:spPr>
          </c:marker>
          <c:dLbls>
            <c:dLbl>
              <c:idx val="0"/>
              <c:layout>
                <c:manualLayout>
                  <c:x val="8.1921618857195549E-3"/>
                  <c:y val="1.2533849205951049E-2"/>
                </c:manualLayout>
              </c:layout>
              <c:dLblPos val="r"/>
              <c:showLegendKey val="0"/>
              <c:showVal val="1"/>
              <c:showCatName val="1"/>
              <c:showSerName val="0"/>
              <c:showPercent val="0"/>
              <c:showBubbleSize val="0"/>
            </c:dLbl>
            <c:numFmt formatCode="#,##0.00" sourceLinked="0"/>
            <c:txPr>
              <a:bodyPr/>
              <a:lstStyle/>
              <a:p>
                <a:pPr>
                  <a:defRPr sz="1100"/>
                </a:pPr>
                <a:endParaRPr lang="fr-FR"/>
              </a:p>
            </c:txPr>
            <c:dLblPos val="r"/>
            <c:showLegendKey val="0"/>
            <c:showVal val="1"/>
            <c:showCatName val="1"/>
            <c:showSerName val="0"/>
            <c:showPercent val="0"/>
            <c:showBubbleSize val="0"/>
            <c:showLeaderLines val="0"/>
          </c:dLbls>
          <c:xVal>
            <c:numRef>
              <c:f>Calcul!$G$10</c:f>
              <c:numCache>
                <c:formatCode>General</c:formatCode>
                <c:ptCount val="1"/>
                <c:pt idx="0">
                  <c:v>1300</c:v>
                </c:pt>
              </c:numCache>
            </c:numRef>
          </c:xVal>
          <c:yVal>
            <c:numRef>
              <c:f>Calcul!$B$6</c:f>
              <c:numCache>
                <c:formatCode>General</c:formatCode>
                <c:ptCount val="1"/>
                <c:pt idx="0">
                  <c:v>40.033333333333331</c:v>
                </c:pt>
              </c:numCache>
            </c:numRef>
          </c:yVal>
          <c:smooth val="0"/>
        </c:ser>
        <c:dLbls>
          <c:showLegendKey val="0"/>
          <c:showVal val="0"/>
          <c:showCatName val="0"/>
          <c:showSerName val="0"/>
          <c:showPercent val="0"/>
          <c:showBubbleSize val="0"/>
        </c:dLbls>
        <c:axId val="152734720"/>
        <c:axId val="152740992"/>
      </c:scatterChart>
      <c:valAx>
        <c:axId val="152734720"/>
        <c:scaling>
          <c:orientation val="minMax"/>
        </c:scaling>
        <c:delete val="0"/>
        <c:axPos val="t"/>
        <c:title>
          <c:tx>
            <c:rich>
              <a:bodyPr/>
              <a:lstStyle/>
              <a:p>
                <a:pPr>
                  <a:defRPr sz="1400"/>
                </a:pPr>
                <a:r>
                  <a:rPr lang="fr-FR" sz="1400"/>
                  <a:t>Distance du centre de la plaque (mm)</a:t>
                </a:r>
              </a:p>
            </c:rich>
          </c:tx>
          <c:layout/>
          <c:overlay val="0"/>
        </c:title>
        <c:numFmt formatCode="General" sourceLinked="1"/>
        <c:majorTickMark val="out"/>
        <c:minorTickMark val="none"/>
        <c:tickLblPos val="nextTo"/>
        <c:txPr>
          <a:bodyPr/>
          <a:lstStyle/>
          <a:p>
            <a:pPr>
              <a:defRPr sz="1400"/>
            </a:pPr>
            <a:endParaRPr lang="fr-FR"/>
          </a:p>
        </c:txPr>
        <c:crossAx val="152740992"/>
        <c:crosses val="autoZero"/>
        <c:crossBetween val="midCat"/>
      </c:valAx>
      <c:valAx>
        <c:axId val="152740992"/>
        <c:scaling>
          <c:orientation val="maxMin"/>
        </c:scaling>
        <c:delete val="0"/>
        <c:axPos val="l"/>
        <c:majorGridlines/>
        <c:title>
          <c:tx>
            <c:rich>
              <a:bodyPr rot="-5400000" vert="horz"/>
              <a:lstStyle/>
              <a:p>
                <a:pPr>
                  <a:defRPr sz="1400"/>
                </a:pPr>
                <a:r>
                  <a:rPr lang="en-US" sz="1400"/>
                  <a:t>Déflexion (</a:t>
                </a:r>
                <a:r>
                  <a:rPr lang="el-GR" sz="1400" b="1" i="0" u="none" strike="noStrike" baseline="0"/>
                  <a:t>μ</a:t>
                </a:r>
                <a:r>
                  <a:rPr lang="fr-FR" sz="1400" b="1" i="0" u="none" strike="noStrike" baseline="0"/>
                  <a:t>m</a:t>
                </a:r>
                <a:r>
                  <a:rPr lang="en-US" sz="1400"/>
                  <a:t>)</a:t>
                </a:r>
              </a:p>
            </c:rich>
          </c:tx>
          <c:layout/>
          <c:overlay val="0"/>
        </c:title>
        <c:numFmt formatCode="0.0" sourceLinked="1"/>
        <c:majorTickMark val="out"/>
        <c:minorTickMark val="none"/>
        <c:tickLblPos val="nextTo"/>
        <c:txPr>
          <a:bodyPr/>
          <a:lstStyle/>
          <a:p>
            <a:pPr>
              <a:defRPr sz="1400"/>
            </a:pPr>
            <a:endParaRPr lang="fr-FR"/>
          </a:p>
        </c:txPr>
        <c:crossAx val="152734720"/>
        <c:crosses val="autoZero"/>
        <c:crossBetween val="midCat"/>
      </c:valAx>
    </c:plotArea>
    <c:legend>
      <c:legendPos val="r"/>
      <c:layout>
        <c:manualLayout>
          <c:xMode val="edge"/>
          <c:yMode val="edge"/>
          <c:x val="0.71967695753573324"/>
          <c:y val="0.82194575678040249"/>
          <c:w val="0.24310931258226154"/>
          <c:h val="0.12426389883082796"/>
        </c:manualLayout>
      </c:layout>
      <c:overlay val="1"/>
      <c:spPr>
        <a:solidFill>
          <a:schemeClr val="bg1"/>
        </a:solidFill>
        <a:ln>
          <a:solidFill>
            <a:schemeClr val="tx1"/>
          </a:solidFill>
        </a:ln>
      </c:spPr>
      <c:txPr>
        <a:bodyPr/>
        <a:lstStyle/>
        <a:p>
          <a:pPr>
            <a:defRPr sz="1200"/>
          </a:pPr>
          <a:endParaRPr lang="fr-FR"/>
        </a:p>
      </c:txPr>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Durée de vie à la fatigue</a:t>
            </a:r>
          </a:p>
        </c:rich>
      </c:tx>
      <c:layout/>
      <c:overlay val="0"/>
    </c:title>
    <c:autoTitleDeleted val="0"/>
    <c:plotArea>
      <c:layout/>
      <c:scatterChart>
        <c:scatterStyle val="smoothMarker"/>
        <c:varyColors val="0"/>
        <c:ser>
          <c:idx val="0"/>
          <c:order val="0"/>
          <c:tx>
            <c:v>E=2000</c:v>
          </c:tx>
          <c:marker>
            <c:symbol val="none"/>
          </c:marker>
          <c:xVal>
            <c:numRef>
              <c:f>Calcul!$B$50:$B$54</c:f>
              <c:numCache>
                <c:formatCode>General</c:formatCode>
                <c:ptCount val="5"/>
                <c:pt idx="0">
                  <c:v>1000</c:v>
                </c:pt>
                <c:pt idx="1">
                  <c:v>10000</c:v>
                </c:pt>
                <c:pt idx="2">
                  <c:v>100000</c:v>
                </c:pt>
                <c:pt idx="3">
                  <c:v>1000000</c:v>
                </c:pt>
                <c:pt idx="4">
                  <c:v>10000000</c:v>
                </c:pt>
              </c:numCache>
            </c:numRef>
          </c:xVal>
          <c:yVal>
            <c:numRef>
              <c:f>Calcul!$A$50:$A$54</c:f>
              <c:numCache>
                <c:formatCode>General</c:formatCode>
                <c:ptCount val="5"/>
                <c:pt idx="0">
                  <c:v>2765.2780853992376</c:v>
                </c:pt>
                <c:pt idx="1">
                  <c:v>1373.3739703041929</c:v>
                </c:pt>
                <c:pt idx="2">
                  <c:v>682.08549160681901</c:v>
                </c:pt>
                <c:pt idx="3">
                  <c:v>338.75741634848981</c:v>
                </c:pt>
                <c:pt idx="4">
                  <c:v>168.243700449876</c:v>
                </c:pt>
              </c:numCache>
            </c:numRef>
          </c:yVal>
          <c:smooth val="1"/>
        </c:ser>
        <c:ser>
          <c:idx val="1"/>
          <c:order val="1"/>
          <c:tx>
            <c:v>E=3000</c:v>
          </c:tx>
          <c:marker>
            <c:symbol val="none"/>
          </c:marker>
          <c:xVal>
            <c:numRef>
              <c:f>Calcul!$B$55:$B$59</c:f>
              <c:numCache>
                <c:formatCode>General</c:formatCode>
                <c:ptCount val="5"/>
                <c:pt idx="0">
                  <c:v>1000</c:v>
                </c:pt>
                <c:pt idx="1">
                  <c:v>10000</c:v>
                </c:pt>
                <c:pt idx="2">
                  <c:v>100000</c:v>
                </c:pt>
                <c:pt idx="3">
                  <c:v>1000000</c:v>
                </c:pt>
                <c:pt idx="4">
                  <c:v>10000000</c:v>
                </c:pt>
              </c:numCache>
            </c:numRef>
          </c:xVal>
          <c:yVal>
            <c:numRef>
              <c:f>Calcul!$A$55:$A$59</c:f>
              <c:numCache>
                <c:formatCode>General</c:formatCode>
                <c:ptCount val="5"/>
                <c:pt idx="0">
                  <c:v>1959.1209179995733</c:v>
                </c:pt>
                <c:pt idx="1">
                  <c:v>972.99641857560675</c:v>
                </c:pt>
                <c:pt idx="2">
                  <c:v>483.23818191254884</c:v>
                </c:pt>
                <c:pt idx="3">
                  <c:v>240</c:v>
                </c:pt>
                <c:pt idx="4">
                  <c:v>119.19587929089555</c:v>
                </c:pt>
              </c:numCache>
            </c:numRef>
          </c:yVal>
          <c:smooth val="1"/>
        </c:ser>
        <c:ser>
          <c:idx val="2"/>
          <c:order val="2"/>
          <c:tx>
            <c:v>E=4000</c:v>
          </c:tx>
          <c:marker>
            <c:symbol val="none"/>
          </c:marker>
          <c:xVal>
            <c:numRef>
              <c:f>Calcul!$B$60:$B$64</c:f>
              <c:numCache>
                <c:formatCode>General</c:formatCode>
                <c:ptCount val="5"/>
                <c:pt idx="0">
                  <c:v>1000</c:v>
                </c:pt>
                <c:pt idx="1">
                  <c:v>10000</c:v>
                </c:pt>
                <c:pt idx="2">
                  <c:v>100000</c:v>
                </c:pt>
                <c:pt idx="3">
                  <c:v>1000000</c:v>
                </c:pt>
                <c:pt idx="4">
                  <c:v>10000000</c:v>
                </c:pt>
              </c:numCache>
            </c:numRef>
          </c:xVal>
          <c:yVal>
            <c:numRef>
              <c:f>Calcul!$A$60:$A$64</c:f>
              <c:numCache>
                <c:formatCode>General</c:formatCode>
                <c:ptCount val="5"/>
                <c:pt idx="0">
                  <c:v>1534.1340726686069</c:v>
                </c:pt>
                <c:pt idx="1">
                  <c:v>761.92691559107186</c:v>
                </c:pt>
                <c:pt idx="2">
                  <c:v>378.4106194136574</c:v>
                </c:pt>
                <c:pt idx="3">
                  <c:v>187.93744380843052</c:v>
                </c:pt>
                <c:pt idx="4">
                  <c:v>93.339036943454786</c:v>
                </c:pt>
              </c:numCache>
            </c:numRef>
          </c:yVal>
          <c:smooth val="1"/>
        </c:ser>
        <c:ser>
          <c:idx val="3"/>
          <c:order val="3"/>
          <c:tx>
            <c:v>E=5000</c:v>
          </c:tx>
          <c:marker>
            <c:symbol val="none"/>
          </c:marker>
          <c:xVal>
            <c:numRef>
              <c:f>Calcul!$B$65:$B$69</c:f>
              <c:numCache>
                <c:formatCode>General</c:formatCode>
                <c:ptCount val="5"/>
                <c:pt idx="0">
                  <c:v>1000</c:v>
                </c:pt>
                <c:pt idx="1">
                  <c:v>10000</c:v>
                </c:pt>
                <c:pt idx="2">
                  <c:v>100000</c:v>
                </c:pt>
                <c:pt idx="3">
                  <c:v>1000000</c:v>
                </c:pt>
                <c:pt idx="4">
                  <c:v>10000000</c:v>
                </c:pt>
              </c:numCache>
            </c:numRef>
          </c:xVal>
          <c:yVal>
            <c:numRef>
              <c:f>Calcul!$A$65:$A$69</c:f>
              <c:numCache>
                <c:formatCode>General</c:formatCode>
                <c:ptCount val="5"/>
                <c:pt idx="0">
                  <c:v>1269.0823512203622</c:v>
                </c:pt>
                <c:pt idx="1">
                  <c:v>630.28911144278425</c:v>
                </c:pt>
                <c:pt idx="2">
                  <c:v>313.03277019124971</c:v>
                </c:pt>
                <c:pt idx="3">
                  <c:v>155.46756787421188</c:v>
                </c:pt>
                <c:pt idx="4">
                  <c:v>77.212889391598623</c:v>
                </c:pt>
              </c:numCache>
            </c:numRef>
          </c:yVal>
          <c:smooth val="1"/>
        </c:ser>
        <c:ser>
          <c:idx val="4"/>
          <c:order val="4"/>
          <c:tx>
            <c:v>E=6000</c:v>
          </c:tx>
          <c:marker>
            <c:symbol val="none"/>
          </c:marker>
          <c:xVal>
            <c:numRef>
              <c:f>Calcul!$B$70:$B$74</c:f>
              <c:numCache>
                <c:formatCode>General</c:formatCode>
                <c:ptCount val="5"/>
                <c:pt idx="0">
                  <c:v>1000</c:v>
                </c:pt>
                <c:pt idx="1">
                  <c:v>10000</c:v>
                </c:pt>
                <c:pt idx="2">
                  <c:v>100000</c:v>
                </c:pt>
                <c:pt idx="3">
                  <c:v>1000000</c:v>
                </c:pt>
                <c:pt idx="4">
                  <c:v>10000000</c:v>
                </c:pt>
              </c:numCache>
            </c:numRef>
          </c:xVal>
          <c:yVal>
            <c:numRef>
              <c:f>Calcul!$A$70:$A$74</c:f>
              <c:numCache>
                <c:formatCode>General</c:formatCode>
                <c:ptCount val="5"/>
                <c:pt idx="0">
                  <c:v>1086.8903813509291</c:v>
                </c:pt>
                <c:pt idx="1">
                  <c:v>539.80356124141997</c:v>
                </c:pt>
                <c:pt idx="2">
                  <c:v>268.09316719386607</c:v>
                </c:pt>
                <c:pt idx="3">
                  <c:v>133.1483366481414</c:v>
                </c:pt>
                <c:pt idx="4">
                  <c:v>66.128054428730778</c:v>
                </c:pt>
              </c:numCache>
            </c:numRef>
          </c:yVal>
          <c:smooth val="1"/>
        </c:ser>
        <c:ser>
          <c:idx val="5"/>
          <c:order val="5"/>
          <c:tx>
            <c:v>E=7000</c:v>
          </c:tx>
          <c:marker>
            <c:symbol val="none"/>
          </c:marker>
          <c:xVal>
            <c:numRef>
              <c:f>Calcul!$B$75:$B$79</c:f>
              <c:numCache>
                <c:formatCode>General</c:formatCode>
                <c:ptCount val="5"/>
                <c:pt idx="0">
                  <c:v>1000</c:v>
                </c:pt>
                <c:pt idx="1">
                  <c:v>10000</c:v>
                </c:pt>
                <c:pt idx="2">
                  <c:v>100000</c:v>
                </c:pt>
                <c:pt idx="3">
                  <c:v>1000000</c:v>
                </c:pt>
                <c:pt idx="4">
                  <c:v>10000000</c:v>
                </c:pt>
              </c:numCache>
            </c:numRef>
          </c:xVal>
          <c:yVal>
            <c:numRef>
              <c:f>Calcul!$A$75:$A$79</c:f>
              <c:numCache>
                <c:formatCode>General</c:formatCode>
                <c:ptCount val="5"/>
                <c:pt idx="0">
                  <c:v>953.41279117551164</c:v>
                </c:pt>
                <c:pt idx="1">
                  <c:v>473.51198321396708</c:v>
                </c:pt>
                <c:pt idx="2">
                  <c:v>235.16948830818578</c:v>
                </c:pt>
                <c:pt idx="3">
                  <c:v>116.7968080886841</c:v>
                </c:pt>
                <c:pt idx="4">
                  <c:v>58.007075993752849</c:v>
                </c:pt>
              </c:numCache>
            </c:numRef>
          </c:yVal>
          <c:smooth val="1"/>
        </c:ser>
        <c:ser>
          <c:idx val="6"/>
          <c:order val="6"/>
          <c:tx>
            <c:v>E=8000</c:v>
          </c:tx>
          <c:marker>
            <c:symbol val="none"/>
          </c:marker>
          <c:xVal>
            <c:numRef>
              <c:f>Calcul!$B$80:$B$84</c:f>
              <c:numCache>
                <c:formatCode>General</c:formatCode>
                <c:ptCount val="5"/>
                <c:pt idx="0">
                  <c:v>1000</c:v>
                </c:pt>
                <c:pt idx="1">
                  <c:v>10000</c:v>
                </c:pt>
                <c:pt idx="2">
                  <c:v>100000</c:v>
                </c:pt>
                <c:pt idx="3">
                  <c:v>1000000</c:v>
                </c:pt>
                <c:pt idx="4">
                  <c:v>10000000</c:v>
                </c:pt>
              </c:numCache>
            </c:numRef>
          </c:xVal>
          <c:yVal>
            <c:numRef>
              <c:f>Calcul!$A$80:$A$84</c:f>
              <c:numCache>
                <c:formatCode>General</c:formatCode>
                <c:ptCount val="5"/>
                <c:pt idx="0">
                  <c:v>851.11416654609957</c:v>
                </c:pt>
                <c:pt idx="1">
                  <c:v>422.70542274333354</c:v>
                </c:pt>
                <c:pt idx="2">
                  <c:v>209.93643560383904</c:v>
                </c:pt>
                <c:pt idx="3">
                  <c:v>104.26482515415027</c:v>
                </c:pt>
                <c:pt idx="4">
                  <c:v>51.783072972335106</c:v>
                </c:pt>
              </c:numCache>
            </c:numRef>
          </c:yVal>
          <c:smooth val="1"/>
        </c:ser>
        <c:ser>
          <c:idx val="7"/>
          <c:order val="7"/>
          <c:tx>
            <c:v>E=9000</c:v>
          </c:tx>
          <c:marker>
            <c:symbol val="none"/>
          </c:marker>
          <c:xVal>
            <c:numRef>
              <c:f>Calcul!$B$85:$B$89</c:f>
              <c:numCache>
                <c:formatCode>General</c:formatCode>
                <c:ptCount val="5"/>
                <c:pt idx="0">
                  <c:v>1000</c:v>
                </c:pt>
                <c:pt idx="1">
                  <c:v>10000</c:v>
                </c:pt>
                <c:pt idx="2">
                  <c:v>100000</c:v>
                </c:pt>
                <c:pt idx="3">
                  <c:v>1000000</c:v>
                </c:pt>
                <c:pt idx="4">
                  <c:v>10000000</c:v>
                </c:pt>
              </c:numCache>
            </c:numRef>
          </c:xVal>
          <c:yVal>
            <c:numRef>
              <c:f>Calcul!$A$85:$A$89</c:f>
              <c:numCache>
                <c:formatCode>General</c:formatCode>
                <c:ptCount val="5"/>
                <c:pt idx="0">
                  <c:v>770.03093935477136</c:v>
                </c:pt>
                <c:pt idx="1">
                  <c:v>382.43547873994265</c:v>
                </c:pt>
                <c:pt idx="2">
                  <c:v>189.93638816850859</c:v>
                </c:pt>
                <c:pt idx="3">
                  <c:v>94.331811654509309</c:v>
                </c:pt>
                <c:pt idx="4">
                  <c:v>46.849846813593274</c:v>
                </c:pt>
              </c:numCache>
            </c:numRef>
          </c:yVal>
          <c:smooth val="1"/>
        </c:ser>
        <c:ser>
          <c:idx val="8"/>
          <c:order val="8"/>
          <c:tx>
            <c:v>E=10000</c:v>
          </c:tx>
          <c:marker>
            <c:symbol val="none"/>
          </c:marker>
          <c:xVal>
            <c:numRef>
              <c:f>Calcul!$B$90:$B$94</c:f>
              <c:numCache>
                <c:formatCode>General</c:formatCode>
                <c:ptCount val="5"/>
                <c:pt idx="0">
                  <c:v>1000</c:v>
                </c:pt>
                <c:pt idx="1">
                  <c:v>10000</c:v>
                </c:pt>
                <c:pt idx="2">
                  <c:v>100000</c:v>
                </c:pt>
                <c:pt idx="3">
                  <c:v>1000000</c:v>
                </c:pt>
                <c:pt idx="4">
                  <c:v>10000000</c:v>
                </c:pt>
              </c:numCache>
            </c:numRef>
          </c:xVal>
          <c:yVal>
            <c:numRef>
              <c:f>Calcul!$A$90:$A$94</c:f>
              <c:numCache>
                <c:formatCode>General</c:formatCode>
                <c:ptCount val="5"/>
                <c:pt idx="0">
                  <c:v>704.06751722709851</c:v>
                </c:pt>
                <c:pt idx="1">
                  <c:v>349.67477831684067</c:v>
                </c:pt>
                <c:pt idx="2">
                  <c:v>173.66580278052001</c:v>
                </c:pt>
                <c:pt idx="3">
                  <c:v>86.251033604930583</c:v>
                </c:pt>
                <c:pt idx="4">
                  <c:v>42.836532459534503</c:v>
                </c:pt>
              </c:numCache>
            </c:numRef>
          </c:yVal>
          <c:smooth val="1"/>
        </c:ser>
        <c:dLbls>
          <c:showLegendKey val="0"/>
          <c:showVal val="0"/>
          <c:showCatName val="0"/>
          <c:showSerName val="0"/>
          <c:showPercent val="0"/>
          <c:showBubbleSize val="0"/>
        </c:dLbls>
        <c:axId val="153454080"/>
        <c:axId val="153464832"/>
      </c:scatterChart>
      <c:scatterChart>
        <c:scatterStyle val="lineMarker"/>
        <c:varyColors val="0"/>
        <c:ser>
          <c:idx val="9"/>
          <c:order val="9"/>
          <c:tx>
            <c:v>Cas d'étude</c:v>
          </c:tx>
          <c:spPr>
            <a:ln w="28575">
              <a:noFill/>
            </a:ln>
          </c:spPr>
          <c:marker>
            <c:symbol val="x"/>
            <c:size val="9"/>
            <c:spPr>
              <a:noFill/>
              <a:ln w="44450">
                <a:solidFill>
                  <a:srgbClr val="FF0000"/>
                </a:solidFill>
              </a:ln>
            </c:spPr>
          </c:marker>
          <c:xVal>
            <c:numRef>
              <c:f>Calcul!$G$46</c:f>
              <c:numCache>
                <c:formatCode>General</c:formatCode>
                <c:ptCount val="1"/>
                <c:pt idx="0">
                  <c:v>8582090.5732286517</c:v>
                </c:pt>
              </c:numCache>
            </c:numRef>
          </c:xVal>
          <c:yVal>
            <c:numRef>
              <c:f>'Paramètres d''entrée'!$J$6</c:f>
              <c:numCache>
                <c:formatCode>0.0</c:formatCode>
                <c:ptCount val="1"/>
                <c:pt idx="0">
                  <c:v>95.397458179373643</c:v>
                </c:pt>
              </c:numCache>
            </c:numRef>
          </c:yVal>
          <c:smooth val="0"/>
        </c:ser>
        <c:dLbls>
          <c:showLegendKey val="0"/>
          <c:showVal val="0"/>
          <c:showCatName val="0"/>
          <c:showSerName val="0"/>
          <c:showPercent val="0"/>
          <c:showBubbleSize val="0"/>
        </c:dLbls>
        <c:axId val="153454080"/>
        <c:axId val="153464832"/>
      </c:scatterChart>
      <c:valAx>
        <c:axId val="153454080"/>
        <c:scaling>
          <c:logBase val="10"/>
          <c:orientation val="minMax"/>
          <c:min val="1000"/>
        </c:scaling>
        <c:delete val="0"/>
        <c:axPos val="b"/>
        <c:majorGridlines/>
        <c:minorGridlines/>
        <c:title>
          <c:tx>
            <c:rich>
              <a:bodyPr/>
              <a:lstStyle/>
              <a:p>
                <a:pPr>
                  <a:defRPr sz="1400"/>
                </a:pPr>
                <a:r>
                  <a:rPr lang="fr-FR" sz="1400"/>
                  <a:t>Nombre d'applications la charge (N)</a:t>
                </a:r>
              </a:p>
            </c:rich>
          </c:tx>
          <c:layout/>
          <c:overlay val="0"/>
        </c:title>
        <c:numFmt formatCode="General" sourceLinked="1"/>
        <c:majorTickMark val="out"/>
        <c:minorTickMark val="none"/>
        <c:tickLblPos val="nextTo"/>
        <c:txPr>
          <a:bodyPr/>
          <a:lstStyle/>
          <a:p>
            <a:pPr>
              <a:defRPr sz="1400"/>
            </a:pPr>
            <a:endParaRPr lang="fr-FR"/>
          </a:p>
        </c:txPr>
        <c:crossAx val="153464832"/>
        <c:crosses val="autoZero"/>
        <c:crossBetween val="midCat"/>
      </c:valAx>
      <c:valAx>
        <c:axId val="153464832"/>
        <c:scaling>
          <c:logBase val="10"/>
          <c:orientation val="minMax"/>
          <c:min val="10"/>
        </c:scaling>
        <c:delete val="0"/>
        <c:axPos val="l"/>
        <c:majorGridlines/>
        <c:minorGridlines/>
        <c:title>
          <c:tx>
            <c:rich>
              <a:bodyPr rot="-5400000" vert="horz"/>
              <a:lstStyle/>
              <a:p>
                <a:pPr>
                  <a:defRPr sz="1400"/>
                </a:pPr>
                <a:r>
                  <a:rPr lang="fr-FR" sz="1400"/>
                  <a:t>Déformation admissible (mm/mm X10</a:t>
                </a:r>
                <a:r>
                  <a:rPr lang="fr-FR" sz="1400" baseline="30000"/>
                  <a:t>-6</a:t>
                </a:r>
                <a:r>
                  <a:rPr lang="fr-FR" sz="1400"/>
                  <a:t>)</a:t>
                </a:r>
              </a:p>
            </c:rich>
          </c:tx>
          <c:layout>
            <c:manualLayout>
              <c:xMode val="edge"/>
              <c:yMode val="edge"/>
              <c:x val="1.8934911242603561E-2"/>
              <c:y val="0.24075918141811234"/>
            </c:manualLayout>
          </c:layout>
          <c:overlay val="0"/>
        </c:title>
        <c:numFmt formatCode="General" sourceLinked="1"/>
        <c:majorTickMark val="out"/>
        <c:minorTickMark val="none"/>
        <c:tickLblPos val="nextTo"/>
        <c:txPr>
          <a:bodyPr/>
          <a:lstStyle/>
          <a:p>
            <a:pPr>
              <a:defRPr sz="1400"/>
            </a:pPr>
            <a:endParaRPr lang="fr-FR"/>
          </a:p>
        </c:txPr>
        <c:crossAx val="153454080"/>
        <c:crosses val="autoZero"/>
        <c:crossBetween val="midCat"/>
      </c:valAx>
    </c:plotArea>
    <c:legend>
      <c:legendPos val="r"/>
      <c:layout>
        <c:manualLayout>
          <c:xMode val="edge"/>
          <c:yMode val="edge"/>
          <c:x val="0.58016833306393889"/>
          <c:y val="0.11820027042074287"/>
          <c:w val="0.33332140300644236"/>
          <c:h val="0.16758927861290071"/>
        </c:manualLayout>
      </c:layout>
      <c:overlay val="1"/>
      <c:spPr>
        <a:solidFill>
          <a:schemeClr val="bg1"/>
        </a:solidFill>
        <a:ln>
          <a:solidFill>
            <a:schemeClr val="tx1"/>
          </a:solidFill>
        </a:ln>
      </c:spPr>
      <c:txPr>
        <a:bodyPr/>
        <a:lstStyle/>
        <a:p>
          <a:pPr>
            <a:defRPr sz="1100"/>
          </a:pPr>
          <a:endParaRPr lang="fr-FR"/>
        </a:p>
      </c:txPr>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Durée de vie à l'orniérage</a:t>
            </a:r>
          </a:p>
        </c:rich>
      </c:tx>
      <c:overlay val="0"/>
    </c:title>
    <c:autoTitleDeleted val="0"/>
    <c:plotArea>
      <c:layout/>
      <c:scatterChart>
        <c:scatterStyle val="smoothMarker"/>
        <c:varyColors val="0"/>
        <c:ser>
          <c:idx val="0"/>
          <c:order val="0"/>
          <c:marker>
            <c:symbol val="none"/>
          </c:marker>
          <c:xVal>
            <c:numRef>
              <c:f>Calcul!$E$50:$E$55</c:f>
              <c:numCache>
                <c:formatCode>General</c:formatCode>
                <c:ptCount val="6"/>
                <c:pt idx="0">
                  <c:v>1000</c:v>
                </c:pt>
                <c:pt idx="1">
                  <c:v>10000</c:v>
                </c:pt>
                <c:pt idx="2">
                  <c:v>100000</c:v>
                </c:pt>
                <c:pt idx="3">
                  <c:v>1000000</c:v>
                </c:pt>
                <c:pt idx="4">
                  <c:v>10000000</c:v>
                </c:pt>
                <c:pt idx="5">
                  <c:v>100000000</c:v>
                </c:pt>
              </c:numCache>
            </c:numRef>
          </c:xVal>
          <c:yVal>
            <c:numRef>
              <c:f>Calcul!$D$50:$D$55</c:f>
              <c:numCache>
                <c:formatCode>General</c:formatCode>
                <c:ptCount val="6"/>
                <c:pt idx="0">
                  <c:v>2252.6301645975664</c:v>
                </c:pt>
                <c:pt idx="1">
                  <c:v>1347.335055783152</c:v>
                </c:pt>
                <c:pt idx="2">
                  <c:v>805.86319985930561</c:v>
                </c:pt>
                <c:pt idx="3">
                  <c:v>482</c:v>
                </c:pt>
                <c:pt idx="4">
                  <c:v>288.29210719705407</c:v>
                </c:pt>
                <c:pt idx="5">
                  <c:v>172.43223873883343</c:v>
                </c:pt>
              </c:numCache>
            </c:numRef>
          </c:yVal>
          <c:smooth val="1"/>
        </c:ser>
        <c:dLbls>
          <c:showLegendKey val="0"/>
          <c:showVal val="0"/>
          <c:showCatName val="0"/>
          <c:showSerName val="0"/>
          <c:showPercent val="0"/>
          <c:showBubbleSize val="0"/>
        </c:dLbls>
        <c:axId val="153945984"/>
        <c:axId val="153952640"/>
      </c:scatterChart>
      <c:scatterChart>
        <c:scatterStyle val="lineMarker"/>
        <c:varyColors val="0"/>
        <c:ser>
          <c:idx val="1"/>
          <c:order val="1"/>
          <c:tx>
            <c:v>Cas d'étude</c:v>
          </c:tx>
          <c:spPr>
            <a:ln w="28575">
              <a:noFill/>
            </a:ln>
          </c:spPr>
          <c:marker>
            <c:symbol val="x"/>
            <c:size val="10"/>
            <c:spPr>
              <a:ln w="44450">
                <a:solidFill>
                  <a:srgbClr val="00B050"/>
                </a:solidFill>
              </a:ln>
            </c:spPr>
          </c:marker>
          <c:xVal>
            <c:numRef>
              <c:f>Calcul!$G$47</c:f>
              <c:numCache>
                <c:formatCode>General</c:formatCode>
                <c:ptCount val="1"/>
                <c:pt idx="0">
                  <c:v>1093020701.7699609</c:v>
                </c:pt>
              </c:numCache>
            </c:numRef>
          </c:xVal>
          <c:yVal>
            <c:numRef>
              <c:f>'Paramètres d''entrée'!$J$7</c:f>
              <c:numCache>
                <c:formatCode>0.0</c:formatCode>
                <c:ptCount val="1"/>
                <c:pt idx="0">
                  <c:v>101.10712775681337</c:v>
                </c:pt>
              </c:numCache>
            </c:numRef>
          </c:yVal>
          <c:smooth val="0"/>
        </c:ser>
        <c:dLbls>
          <c:showLegendKey val="0"/>
          <c:showVal val="0"/>
          <c:showCatName val="0"/>
          <c:showSerName val="0"/>
          <c:showPercent val="0"/>
          <c:showBubbleSize val="0"/>
        </c:dLbls>
        <c:axId val="153945984"/>
        <c:axId val="153952640"/>
      </c:scatterChart>
      <c:valAx>
        <c:axId val="153945984"/>
        <c:scaling>
          <c:logBase val="10"/>
          <c:orientation val="minMax"/>
          <c:min val="1000"/>
        </c:scaling>
        <c:delete val="0"/>
        <c:axPos val="b"/>
        <c:majorGridlines/>
        <c:minorGridlines/>
        <c:title>
          <c:tx>
            <c:rich>
              <a:bodyPr/>
              <a:lstStyle/>
              <a:p>
                <a:pPr>
                  <a:defRPr sz="1400"/>
                </a:pPr>
                <a:r>
                  <a:rPr lang="fr-FR" sz="1400"/>
                  <a:t>Nombre d'applications la charge (N)</a:t>
                </a:r>
              </a:p>
            </c:rich>
          </c:tx>
          <c:overlay val="0"/>
        </c:title>
        <c:numFmt formatCode="General" sourceLinked="1"/>
        <c:majorTickMark val="out"/>
        <c:minorTickMark val="none"/>
        <c:tickLblPos val="nextTo"/>
        <c:txPr>
          <a:bodyPr/>
          <a:lstStyle/>
          <a:p>
            <a:pPr>
              <a:defRPr sz="1400"/>
            </a:pPr>
            <a:endParaRPr lang="fr-FR"/>
          </a:p>
        </c:txPr>
        <c:crossAx val="153952640"/>
        <c:crosses val="autoZero"/>
        <c:crossBetween val="midCat"/>
      </c:valAx>
      <c:valAx>
        <c:axId val="153952640"/>
        <c:scaling>
          <c:logBase val="10"/>
          <c:orientation val="minMax"/>
          <c:min val="100"/>
        </c:scaling>
        <c:delete val="0"/>
        <c:axPos val="l"/>
        <c:majorGridlines/>
        <c:minorGridlines/>
        <c:title>
          <c:tx>
            <c:rich>
              <a:bodyPr rot="-5400000" vert="horz"/>
              <a:lstStyle/>
              <a:p>
                <a:pPr>
                  <a:defRPr sz="1400"/>
                </a:pPr>
                <a:r>
                  <a:rPr lang="fr-FR" sz="1400"/>
                  <a:t>Déformation admissible (mm/mmX 10</a:t>
                </a:r>
                <a:r>
                  <a:rPr lang="fr-FR" sz="1400" baseline="30000"/>
                  <a:t>-6</a:t>
                </a:r>
                <a:r>
                  <a:rPr lang="fr-FR" sz="1400"/>
                  <a:t>)</a:t>
                </a:r>
              </a:p>
            </c:rich>
          </c:tx>
          <c:overlay val="0"/>
        </c:title>
        <c:numFmt formatCode="General" sourceLinked="1"/>
        <c:majorTickMark val="out"/>
        <c:minorTickMark val="none"/>
        <c:tickLblPos val="nextTo"/>
        <c:txPr>
          <a:bodyPr/>
          <a:lstStyle/>
          <a:p>
            <a:pPr>
              <a:defRPr sz="1400"/>
            </a:pPr>
            <a:endParaRPr lang="fr-FR"/>
          </a:p>
        </c:txPr>
        <c:crossAx val="153945984"/>
        <c:crosses val="autoZero"/>
        <c:crossBetween val="midCat"/>
      </c:valAx>
    </c:plotArea>
    <c:legend>
      <c:legendPos val="r"/>
      <c:legendEntry>
        <c:idx val="0"/>
        <c:delete val="1"/>
      </c:legendEntry>
      <c:layout>
        <c:manualLayout>
          <c:xMode val="edge"/>
          <c:yMode val="edge"/>
          <c:x val="0.81045419909021621"/>
          <c:y val="0.10653686471009303"/>
          <c:w val="0.11183319093910915"/>
          <c:h val="4.1421299610275984E-2"/>
        </c:manualLayout>
      </c:layout>
      <c:overlay val="1"/>
      <c:spPr>
        <a:solidFill>
          <a:schemeClr val="bg1"/>
        </a:solidFill>
        <a:ln>
          <a:solidFill>
            <a:schemeClr val="tx1"/>
          </a:solidFill>
        </a:ln>
      </c:spPr>
      <c:txPr>
        <a:bodyPr/>
        <a:lstStyle/>
        <a:p>
          <a:pPr>
            <a:defRPr sz="1200"/>
          </a:pPr>
          <a:endParaRPr lang="fr-FR"/>
        </a:p>
      </c:txPr>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Graph4"/>
  <sheetViews>
    <sheetView zoomScale="60" workbookViewId="0" zoomToFit="1"/>
  </sheetViews>
  <sheetProtection password="DB32"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5"/>
  <sheetViews>
    <sheetView zoomScale="60" workbookViewId="0" zoomToFit="1"/>
  </sheetViews>
  <sheetProtection password="DB32"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Graph6"/>
  <sheetViews>
    <sheetView zoomScale="81" workbookViewId="0" zoomToFit="1"/>
  </sheetViews>
  <sheetProtection password="DB32"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25592</xdr:colOff>
      <xdr:row>0</xdr:row>
      <xdr:rowOff>23815</xdr:rowOff>
    </xdr:from>
    <xdr:to>
      <xdr:col>1</xdr:col>
      <xdr:colOff>561975</xdr:colOff>
      <xdr:row>3</xdr:row>
      <xdr:rowOff>11303</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92" y="23815"/>
          <a:ext cx="1365058" cy="759013"/>
        </a:xfrm>
        <a:prstGeom prst="rect">
          <a:avLst/>
        </a:prstGeom>
      </xdr:spPr>
    </xdr:pic>
    <xdr:clientData/>
  </xdr:twoCellAnchor>
  <xdr:absoluteAnchor>
    <xdr:pos x="5506961" y="1575102"/>
    <xdr:ext cx="4823581" cy="3203727"/>
    <xdr:graphicFrame macro="">
      <xdr:nvGraphicFramePr>
        <xdr:cNvPr id="3"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1400"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6574" cy="629120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46"/>
  <sheetViews>
    <sheetView showGridLines="0" showRowColHeaders="0" workbookViewId="0">
      <selection activeCell="I7" sqref="I7"/>
    </sheetView>
  </sheetViews>
  <sheetFormatPr baseColWidth="10" defaultColWidth="9.109375" defaultRowHeight="14.4" x14ac:dyDescent="0.3"/>
  <cols>
    <col min="1" max="1" width="12" customWidth="1"/>
    <col min="2" max="2" width="9.44140625" customWidth="1"/>
    <col min="4" max="4" width="11.6640625" customWidth="1"/>
  </cols>
  <sheetData>
    <row r="1" spans="1:7" ht="26.25" x14ac:dyDescent="0.4">
      <c r="A1" s="44" t="s">
        <v>134</v>
      </c>
      <c r="B1" s="3"/>
    </row>
    <row r="2" spans="1:7" ht="15.75" thickBot="1" x14ac:dyDescent="0.3">
      <c r="A2" s="3"/>
      <c r="B2" s="3"/>
    </row>
    <row r="3" spans="1:7" s="1" customFormat="1" ht="18" x14ac:dyDescent="0.35">
      <c r="A3" s="36" t="s">
        <v>118</v>
      </c>
      <c r="B3" s="37"/>
      <c r="C3" s="37" t="s">
        <v>119</v>
      </c>
      <c r="D3" s="37"/>
      <c r="E3" s="37"/>
      <c r="F3" s="37"/>
      <c r="G3" s="38" t="s">
        <v>120</v>
      </c>
    </row>
    <row r="4" spans="1:7" ht="15.6" x14ac:dyDescent="0.35">
      <c r="A4" s="12" t="s">
        <v>88</v>
      </c>
      <c r="B4" s="3" t="s">
        <v>124</v>
      </c>
      <c r="C4" s="2"/>
      <c r="D4" s="2"/>
      <c r="E4" s="2"/>
      <c r="F4" s="2"/>
      <c r="G4" s="8" t="s">
        <v>79</v>
      </c>
    </row>
    <row r="5" spans="1:7" s="1" customFormat="1" ht="15.6" x14ac:dyDescent="0.35">
      <c r="A5" s="39" t="s">
        <v>89</v>
      </c>
      <c r="B5" s="40" t="s">
        <v>125</v>
      </c>
      <c r="C5" s="40"/>
      <c r="D5" s="40"/>
      <c r="E5" s="40"/>
      <c r="F5" s="40"/>
      <c r="G5" s="41" t="s">
        <v>79</v>
      </c>
    </row>
    <row r="6" spans="1:7" s="1" customFormat="1" ht="15.6" x14ac:dyDescent="0.35">
      <c r="A6" s="12" t="s">
        <v>90</v>
      </c>
      <c r="B6" s="3" t="s">
        <v>126</v>
      </c>
      <c r="C6" s="2"/>
      <c r="D6" s="2"/>
      <c r="E6" s="2"/>
      <c r="F6" s="2"/>
      <c r="G6" s="8" t="s">
        <v>79</v>
      </c>
    </row>
    <row r="7" spans="1:7" ht="15.6" x14ac:dyDescent="0.35">
      <c r="A7" s="39" t="s">
        <v>91</v>
      </c>
      <c r="B7" s="40" t="s">
        <v>127</v>
      </c>
      <c r="C7" s="40"/>
      <c r="D7" s="40"/>
      <c r="E7" s="40"/>
      <c r="F7" s="40"/>
      <c r="G7" s="41" t="s">
        <v>80</v>
      </c>
    </row>
    <row r="8" spans="1:7" ht="18" x14ac:dyDescent="0.35">
      <c r="A8" s="26" t="s">
        <v>92</v>
      </c>
      <c r="B8" s="3" t="s">
        <v>128</v>
      </c>
      <c r="C8" s="2"/>
      <c r="D8" s="2"/>
      <c r="E8" s="2"/>
      <c r="F8" s="2"/>
      <c r="G8" s="8" t="s">
        <v>80</v>
      </c>
    </row>
    <row r="9" spans="1:7" ht="18" x14ac:dyDescent="0.35">
      <c r="A9" s="39" t="s">
        <v>93</v>
      </c>
      <c r="B9" s="40" t="s">
        <v>129</v>
      </c>
      <c r="C9" s="40"/>
      <c r="D9" s="40"/>
      <c r="E9" s="40"/>
      <c r="F9" s="40"/>
      <c r="G9" s="41" t="s">
        <v>80</v>
      </c>
    </row>
    <row r="10" spans="1:7" x14ac:dyDescent="0.3">
      <c r="A10" s="26" t="s">
        <v>1</v>
      </c>
      <c r="B10" s="3" t="s">
        <v>123</v>
      </c>
      <c r="C10" s="2"/>
      <c r="D10" s="3"/>
      <c r="E10" s="3"/>
      <c r="F10" s="3"/>
      <c r="G10" s="25" t="s">
        <v>81</v>
      </c>
    </row>
    <row r="11" spans="1:7" x14ac:dyDescent="0.3">
      <c r="A11" s="39" t="s">
        <v>2</v>
      </c>
      <c r="B11" s="40" t="s">
        <v>74</v>
      </c>
      <c r="C11" s="40"/>
      <c r="D11" s="40"/>
      <c r="E11" s="40"/>
      <c r="F11" s="40"/>
      <c r="G11" s="41" t="s">
        <v>81</v>
      </c>
    </row>
    <row r="12" spans="1:7" x14ac:dyDescent="0.3">
      <c r="A12" s="26" t="s">
        <v>31</v>
      </c>
      <c r="B12" s="3" t="s">
        <v>131</v>
      </c>
      <c r="C12" s="3"/>
      <c r="D12" s="3"/>
      <c r="E12" s="3"/>
      <c r="F12" s="3"/>
      <c r="G12" s="25" t="s">
        <v>81</v>
      </c>
    </row>
    <row r="13" spans="1:7" x14ac:dyDescent="0.3">
      <c r="A13" s="39" t="s">
        <v>36</v>
      </c>
      <c r="B13" s="40" t="s">
        <v>132</v>
      </c>
      <c r="C13" s="40"/>
      <c r="D13" s="40"/>
      <c r="E13" s="40"/>
      <c r="F13" s="40"/>
      <c r="G13" s="41" t="s">
        <v>81</v>
      </c>
    </row>
    <row r="14" spans="1:7" ht="15.6" x14ac:dyDescent="0.35">
      <c r="A14" s="26" t="s">
        <v>111</v>
      </c>
      <c r="B14" s="3" t="s">
        <v>133</v>
      </c>
      <c r="C14" s="3"/>
      <c r="D14" s="3"/>
      <c r="E14" s="3"/>
      <c r="F14" s="3"/>
      <c r="G14" s="25" t="s">
        <v>81</v>
      </c>
    </row>
    <row r="15" spans="1:7" ht="15" x14ac:dyDescent="0.25">
      <c r="A15" s="39" t="s">
        <v>73</v>
      </c>
      <c r="B15" s="40" t="s">
        <v>75</v>
      </c>
      <c r="C15" s="40"/>
      <c r="D15" s="40"/>
      <c r="E15" s="40"/>
      <c r="F15" s="40"/>
      <c r="G15" s="41" t="s">
        <v>82</v>
      </c>
    </row>
    <row r="16" spans="1:7" x14ac:dyDescent="0.3">
      <c r="A16" s="26" t="s">
        <v>109</v>
      </c>
      <c r="B16" s="3" t="s">
        <v>4</v>
      </c>
      <c r="C16" s="2"/>
      <c r="D16" s="2"/>
      <c r="E16" s="2"/>
      <c r="F16" s="2"/>
      <c r="G16" s="25" t="s">
        <v>79</v>
      </c>
    </row>
    <row r="17" spans="1:10" x14ac:dyDescent="0.3">
      <c r="A17" s="39" t="s">
        <v>110</v>
      </c>
      <c r="B17" s="40" t="s">
        <v>39</v>
      </c>
      <c r="C17" s="40"/>
      <c r="D17" s="40"/>
      <c r="E17" s="40"/>
      <c r="F17" s="40"/>
      <c r="G17" s="41"/>
    </row>
    <row r="18" spans="1:10" ht="15.6" x14ac:dyDescent="0.35">
      <c r="A18" s="12" t="s">
        <v>113</v>
      </c>
      <c r="B18" s="2" t="s">
        <v>130</v>
      </c>
      <c r="C18" s="2"/>
      <c r="D18" s="2"/>
      <c r="E18" s="2"/>
      <c r="F18" s="2"/>
      <c r="G18" s="8" t="s">
        <v>114</v>
      </c>
    </row>
    <row r="19" spans="1:10" x14ac:dyDescent="0.3">
      <c r="A19" s="39" t="s">
        <v>71</v>
      </c>
      <c r="B19" s="40" t="s">
        <v>121</v>
      </c>
      <c r="C19" s="40"/>
      <c r="D19" s="40"/>
      <c r="E19" s="40"/>
      <c r="F19" s="40"/>
      <c r="G19" s="41" t="s">
        <v>86</v>
      </c>
      <c r="H19" s="3"/>
      <c r="I19" s="3"/>
      <c r="J19" s="3"/>
    </row>
    <row r="20" spans="1:10" ht="15" thickBot="1" x14ac:dyDescent="0.35">
      <c r="A20" s="13" t="s">
        <v>72</v>
      </c>
      <c r="B20" s="42" t="s">
        <v>122</v>
      </c>
      <c r="C20" s="42"/>
      <c r="D20" s="42"/>
      <c r="E20" s="42"/>
      <c r="F20" s="42"/>
      <c r="G20" s="30" t="s">
        <v>86</v>
      </c>
      <c r="H20" s="3"/>
      <c r="I20" s="3"/>
      <c r="J20" s="3"/>
    </row>
    <row r="21" spans="1:10" x14ac:dyDescent="0.3">
      <c r="D21" s="3"/>
      <c r="E21" s="3"/>
      <c r="F21" s="3"/>
      <c r="G21" s="3"/>
      <c r="H21" s="3"/>
      <c r="I21" s="3"/>
      <c r="J21" s="3"/>
    </row>
    <row r="22" spans="1:10" x14ac:dyDescent="0.3">
      <c r="D22" s="3"/>
      <c r="E22" s="3"/>
      <c r="F22" s="3"/>
      <c r="G22" s="3"/>
      <c r="H22" s="3"/>
      <c r="I22" s="3"/>
      <c r="J22" s="3"/>
    </row>
    <row r="23" spans="1:10" x14ac:dyDescent="0.3">
      <c r="D23" s="3"/>
      <c r="E23" s="3"/>
      <c r="F23" s="3"/>
      <c r="G23" s="3"/>
      <c r="H23" s="3"/>
      <c r="I23" s="3"/>
      <c r="J23" s="3"/>
    </row>
    <row r="24" spans="1:10" x14ac:dyDescent="0.3">
      <c r="D24" s="3"/>
      <c r="E24" s="3"/>
      <c r="F24" s="3"/>
      <c r="G24" s="3"/>
      <c r="H24" s="3"/>
      <c r="I24" s="3"/>
      <c r="J24" s="3"/>
    </row>
    <row r="25" spans="1:10" x14ac:dyDescent="0.3">
      <c r="D25" s="3"/>
      <c r="E25" s="3"/>
      <c r="F25" s="3"/>
      <c r="G25" s="3"/>
      <c r="H25" s="3"/>
      <c r="I25" s="3"/>
      <c r="J25" s="3"/>
    </row>
    <row r="26" spans="1:10" x14ac:dyDescent="0.3">
      <c r="D26" s="3"/>
      <c r="E26" s="3"/>
      <c r="F26" s="3"/>
      <c r="G26" s="3"/>
      <c r="H26" s="3"/>
      <c r="I26" s="3"/>
      <c r="J26" s="3"/>
    </row>
    <row r="27" spans="1:10" x14ac:dyDescent="0.3">
      <c r="D27" s="3"/>
      <c r="E27" s="3"/>
      <c r="F27" s="3"/>
      <c r="G27" s="3"/>
      <c r="H27" s="3"/>
      <c r="I27" s="3"/>
      <c r="J27" s="3"/>
    </row>
    <row r="28" spans="1:10" x14ac:dyDescent="0.3">
      <c r="D28" s="3"/>
      <c r="E28" s="3"/>
      <c r="F28" s="3"/>
      <c r="G28" s="3"/>
      <c r="H28" s="3"/>
      <c r="I28" s="3"/>
      <c r="J28" s="3"/>
    </row>
    <row r="29" spans="1:10" x14ac:dyDescent="0.3">
      <c r="D29" s="3"/>
      <c r="E29" s="3"/>
      <c r="F29" s="3"/>
      <c r="G29" s="3"/>
      <c r="H29" s="3"/>
      <c r="I29" s="3"/>
      <c r="J29" s="3"/>
    </row>
    <row r="30" spans="1:10" x14ac:dyDescent="0.3">
      <c r="D30" s="3"/>
      <c r="E30" s="3"/>
      <c r="F30" s="3"/>
      <c r="G30" s="3"/>
      <c r="H30" s="3"/>
      <c r="I30" s="3"/>
      <c r="J30" s="3"/>
    </row>
    <row r="31" spans="1:10" x14ac:dyDescent="0.3">
      <c r="D31" s="3"/>
      <c r="E31" s="3"/>
      <c r="F31" s="3"/>
      <c r="G31" s="3"/>
      <c r="H31" s="3"/>
      <c r="I31" s="3"/>
      <c r="J31" s="3"/>
    </row>
    <row r="32" spans="1:10" x14ac:dyDescent="0.3">
      <c r="D32" s="3"/>
      <c r="E32" s="3"/>
      <c r="F32" s="3"/>
      <c r="G32" s="3"/>
      <c r="H32" s="3"/>
      <c r="I32" s="3"/>
      <c r="J32" s="3"/>
    </row>
    <row r="33" spans="4:10" x14ac:dyDescent="0.3">
      <c r="D33" s="3"/>
      <c r="E33" s="3"/>
      <c r="F33" s="3"/>
      <c r="G33" s="3"/>
      <c r="H33" s="3"/>
      <c r="I33" s="3"/>
      <c r="J33" s="3"/>
    </row>
    <row r="34" spans="4:10" x14ac:dyDescent="0.3">
      <c r="D34" s="3"/>
      <c r="E34" s="3"/>
      <c r="F34" s="3"/>
      <c r="G34" s="3"/>
      <c r="H34" s="3"/>
      <c r="I34" s="3"/>
      <c r="J34" s="3"/>
    </row>
    <row r="35" spans="4:10" x14ac:dyDescent="0.3">
      <c r="D35" s="3"/>
      <c r="E35" s="3"/>
      <c r="F35" s="3"/>
      <c r="G35" s="3"/>
      <c r="H35" s="3"/>
      <c r="I35" s="3"/>
      <c r="J35" s="3"/>
    </row>
    <row r="36" spans="4:10" x14ac:dyDescent="0.3">
      <c r="D36" s="3"/>
      <c r="E36" s="3"/>
      <c r="F36" s="3"/>
      <c r="G36" s="3"/>
      <c r="H36" s="3"/>
      <c r="I36" s="3"/>
      <c r="J36" s="3"/>
    </row>
    <row r="37" spans="4:10" x14ac:dyDescent="0.3">
      <c r="D37" s="3"/>
      <c r="E37" s="3"/>
      <c r="F37" s="3"/>
      <c r="G37" s="3"/>
      <c r="H37" s="3"/>
      <c r="I37" s="3"/>
      <c r="J37" s="3"/>
    </row>
    <row r="38" spans="4:10" x14ac:dyDescent="0.3">
      <c r="D38" s="3"/>
      <c r="E38" s="3"/>
      <c r="F38" s="3"/>
      <c r="G38" s="3"/>
      <c r="H38" s="3"/>
      <c r="I38" s="3"/>
      <c r="J38" s="3"/>
    </row>
    <row r="39" spans="4:10" x14ac:dyDescent="0.3">
      <c r="D39" s="3"/>
      <c r="E39" s="3"/>
      <c r="F39" s="3"/>
      <c r="G39" s="3"/>
      <c r="H39" s="3"/>
      <c r="I39" s="3"/>
      <c r="J39" s="3"/>
    </row>
    <row r="40" spans="4:10" x14ac:dyDescent="0.3">
      <c r="D40" s="3"/>
      <c r="E40" s="3"/>
      <c r="F40" s="3"/>
      <c r="G40" s="3"/>
      <c r="H40" s="3"/>
      <c r="I40" s="3"/>
      <c r="J40" s="3"/>
    </row>
    <row r="41" spans="4:10" x14ac:dyDescent="0.3">
      <c r="D41" s="3"/>
      <c r="E41" s="3"/>
      <c r="F41" s="3"/>
      <c r="G41" s="3"/>
      <c r="H41" s="3"/>
      <c r="I41" s="3"/>
      <c r="J41" s="3"/>
    </row>
    <row r="42" spans="4:10" x14ac:dyDescent="0.3">
      <c r="D42" s="3"/>
      <c r="E42" s="3"/>
      <c r="F42" s="3"/>
      <c r="G42" s="3"/>
      <c r="H42" s="3"/>
      <c r="I42" s="3"/>
      <c r="J42" s="3"/>
    </row>
    <row r="43" spans="4:10" x14ac:dyDescent="0.3">
      <c r="D43" s="3"/>
      <c r="E43" s="3"/>
      <c r="F43" s="3"/>
      <c r="G43" s="3"/>
      <c r="H43" s="3"/>
      <c r="I43" s="3"/>
      <c r="J43" s="3"/>
    </row>
    <row r="44" spans="4:10" x14ac:dyDescent="0.3">
      <c r="D44" s="3"/>
      <c r="E44" s="3"/>
      <c r="F44" s="3"/>
      <c r="G44" s="3"/>
      <c r="H44" s="3"/>
      <c r="I44" s="3"/>
      <c r="J44" s="3"/>
    </row>
    <row r="45" spans="4:10" x14ac:dyDescent="0.3">
      <c r="D45" s="43"/>
      <c r="E45" s="3"/>
      <c r="F45" s="3"/>
      <c r="G45" s="3"/>
      <c r="H45" s="3"/>
      <c r="I45" s="3"/>
      <c r="J45" s="3"/>
    </row>
    <row r="46" spans="4:10" x14ac:dyDescent="0.3">
      <c r="D46" s="43"/>
      <c r="E46" s="3"/>
      <c r="F46" s="3"/>
      <c r="G46" s="3"/>
      <c r="H46" s="3"/>
      <c r="I46" s="3"/>
      <c r="J46" s="3"/>
    </row>
  </sheetData>
  <sheetProtection password="DB32"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O35"/>
  <sheetViews>
    <sheetView showGridLines="0" showRowColHeaders="0" tabSelected="1" zoomScale="80" zoomScaleNormal="80" workbookViewId="0">
      <selection activeCell="A16" sqref="A16"/>
    </sheetView>
  </sheetViews>
  <sheetFormatPr baseColWidth="10" defaultColWidth="9.109375" defaultRowHeight="14.4" x14ac:dyDescent="0.3"/>
  <cols>
    <col min="1" max="1" width="12.44140625" customWidth="1"/>
    <col min="2" max="2" width="13.109375" customWidth="1"/>
    <col min="3" max="3" width="5.44140625" customWidth="1"/>
    <col min="4" max="4" width="2" customWidth="1"/>
    <col min="5" max="5" width="22" customWidth="1"/>
    <col min="6" max="6" width="18.44140625" customWidth="1"/>
    <col min="7" max="7" width="4.88671875" customWidth="1"/>
    <col min="8" max="8" width="2.109375" customWidth="1"/>
    <col min="9" max="9" width="14.33203125" customWidth="1"/>
    <col min="10" max="10" width="10.109375" customWidth="1"/>
    <col min="11" max="11" width="12.6640625" customWidth="1"/>
    <col min="12" max="12" width="1.44140625" customWidth="1"/>
    <col min="13" max="13" width="11.6640625" customWidth="1"/>
    <col min="14" max="14" width="10.5546875" customWidth="1"/>
    <col min="16" max="16" width="9.109375" customWidth="1"/>
  </cols>
  <sheetData>
    <row r="1" spans="1:15" ht="30" thickBot="1" x14ac:dyDescent="0.35">
      <c r="C1" s="4" t="s">
        <v>78</v>
      </c>
      <c r="J1" s="3"/>
      <c r="N1" s="75" t="s">
        <v>116</v>
      </c>
      <c r="O1" s="76"/>
    </row>
    <row r="2" spans="1:15" x14ac:dyDescent="0.3">
      <c r="D2" s="5"/>
      <c r="E2" s="6"/>
      <c r="F2" s="6"/>
      <c r="J2" s="3"/>
      <c r="N2" s="77" t="s">
        <v>135</v>
      </c>
      <c r="O2" s="78"/>
    </row>
    <row r="3" spans="1:15" s="1" customFormat="1" ht="15" thickBot="1" x14ac:dyDescent="0.35">
      <c r="D3" s="5"/>
      <c r="E3" s="6"/>
      <c r="F3" s="6"/>
      <c r="J3" s="3"/>
      <c r="N3" s="79" t="s">
        <v>136</v>
      </c>
      <c r="O3" s="80"/>
    </row>
    <row r="4" spans="1:15" ht="9" customHeight="1" thickBot="1" x14ac:dyDescent="0.3">
      <c r="I4" s="1"/>
      <c r="J4" s="3"/>
      <c r="K4" s="3"/>
      <c r="L4" s="3"/>
    </row>
    <row r="5" spans="1:15" ht="16.2" thickBot="1" x14ac:dyDescent="0.35">
      <c r="A5" s="32" t="s">
        <v>98</v>
      </c>
      <c r="B5" s="14"/>
      <c r="C5" s="15"/>
      <c r="D5" s="2"/>
      <c r="E5" s="31" t="s">
        <v>99</v>
      </c>
      <c r="F5" s="16"/>
      <c r="G5" s="17"/>
      <c r="I5" s="32" t="s">
        <v>100</v>
      </c>
      <c r="J5" s="19"/>
      <c r="K5" s="20"/>
      <c r="L5" s="27"/>
      <c r="M5" s="32" t="s">
        <v>101</v>
      </c>
      <c r="N5" s="34"/>
      <c r="O5" s="35"/>
    </row>
    <row r="6" spans="1:15" ht="15.6" x14ac:dyDescent="0.35">
      <c r="A6" s="12" t="s">
        <v>88</v>
      </c>
      <c r="B6" s="46">
        <v>150</v>
      </c>
      <c r="C6" s="8" t="s">
        <v>79</v>
      </c>
      <c r="D6" s="2"/>
      <c r="E6" s="29" t="s">
        <v>94</v>
      </c>
      <c r="F6" s="51">
        <v>34</v>
      </c>
      <c r="G6" s="21" t="s">
        <v>83</v>
      </c>
      <c r="I6" s="23" t="s">
        <v>106</v>
      </c>
      <c r="J6" s="54">
        <f>Calcul!B11</f>
        <v>95.397458179373643</v>
      </c>
      <c r="K6" s="8" t="s">
        <v>86</v>
      </c>
      <c r="L6" s="3"/>
      <c r="M6" s="12" t="s">
        <v>102</v>
      </c>
      <c r="N6" s="52">
        <f>Calcul!J43</f>
        <v>8.5820905732286512</v>
      </c>
      <c r="O6" s="8" t="s">
        <v>87</v>
      </c>
    </row>
    <row r="7" spans="1:15" ht="16.2" thickBot="1" x14ac:dyDescent="0.4">
      <c r="A7" s="12" t="s">
        <v>89</v>
      </c>
      <c r="B7" s="46">
        <v>250</v>
      </c>
      <c r="C7" s="8" t="s">
        <v>79</v>
      </c>
      <c r="D7" s="2"/>
      <c r="E7" s="12" t="s">
        <v>95</v>
      </c>
      <c r="F7" s="46">
        <v>40</v>
      </c>
      <c r="G7" s="8" t="s">
        <v>84</v>
      </c>
      <c r="I7" s="24" t="s">
        <v>107</v>
      </c>
      <c r="J7" s="55">
        <f>Calcul!B12</f>
        <v>101.10712775681337</v>
      </c>
      <c r="K7" s="9" t="s">
        <v>86</v>
      </c>
      <c r="M7" s="13" t="s">
        <v>103</v>
      </c>
      <c r="N7" s="53">
        <f>Calcul!J44</f>
        <v>1093.0207017699609</v>
      </c>
      <c r="O7" s="9" t="s">
        <v>87</v>
      </c>
    </row>
    <row r="8" spans="1:15" ht="18" x14ac:dyDescent="0.35">
      <c r="A8" s="12" t="s">
        <v>90</v>
      </c>
      <c r="B8" s="46">
        <v>400</v>
      </c>
      <c r="C8" s="8" t="s">
        <v>79</v>
      </c>
      <c r="D8" s="2"/>
      <c r="E8" s="12" t="s">
        <v>96</v>
      </c>
      <c r="F8" s="46">
        <v>150</v>
      </c>
      <c r="G8" s="8" t="s">
        <v>79</v>
      </c>
      <c r="I8" s="2"/>
      <c r="J8" s="10"/>
      <c r="K8" s="2"/>
    </row>
    <row r="9" spans="1:15" ht="16.2" thickBot="1" x14ac:dyDescent="0.4">
      <c r="A9" s="12" t="s">
        <v>91</v>
      </c>
      <c r="B9" s="59">
        <f>Calcul!B8</f>
        <v>4117.7458469801877</v>
      </c>
      <c r="C9" s="8" t="s">
        <v>80</v>
      </c>
      <c r="D9" s="2"/>
      <c r="E9" s="18" t="s">
        <v>113</v>
      </c>
      <c r="F9" s="56">
        <f>4*F7/(PI()*((2*F8/1000)^2))</f>
        <v>565.88424210451672</v>
      </c>
      <c r="G9" s="30" t="s">
        <v>114</v>
      </c>
    </row>
    <row r="10" spans="1:15" ht="18.75" thickBot="1" x14ac:dyDescent="0.4">
      <c r="A10" s="12" t="s">
        <v>92</v>
      </c>
      <c r="B10" s="59">
        <f>Calcul!B9</f>
        <v>142.93052481889401</v>
      </c>
      <c r="C10" s="8" t="s">
        <v>80</v>
      </c>
      <c r="D10" s="2"/>
    </row>
    <row r="11" spans="1:15" ht="16.8" thickBot="1" x14ac:dyDescent="0.4">
      <c r="A11" s="12" t="s">
        <v>93</v>
      </c>
      <c r="B11" s="59">
        <f>Calcul!B10</f>
        <v>89.249665150137716</v>
      </c>
      <c r="C11" s="8" t="s">
        <v>80</v>
      </c>
      <c r="D11" s="2"/>
      <c r="E11" s="33" t="s">
        <v>115</v>
      </c>
      <c r="F11" s="28"/>
      <c r="G11" s="20"/>
    </row>
    <row r="12" spans="1:15" ht="15" thickBot="1" x14ac:dyDescent="0.35">
      <c r="A12" s="13" t="s">
        <v>14</v>
      </c>
      <c r="B12" s="45" t="s">
        <v>19</v>
      </c>
      <c r="C12" s="9"/>
      <c r="D12" s="2"/>
      <c r="E12" s="18" t="s">
        <v>97</v>
      </c>
      <c r="F12" s="45">
        <v>22</v>
      </c>
      <c r="G12" s="9" t="s">
        <v>85</v>
      </c>
    </row>
    <row r="13" spans="1:15" ht="7.5" customHeight="1" thickBot="1" x14ac:dyDescent="0.35">
      <c r="A13" s="2"/>
      <c r="B13" s="10"/>
      <c r="C13" s="2"/>
    </row>
    <row r="14" spans="1:15" ht="16.2" thickBot="1" x14ac:dyDescent="0.35">
      <c r="A14" s="32" t="s">
        <v>104</v>
      </c>
      <c r="B14" s="14"/>
      <c r="C14" s="7"/>
      <c r="E14" s="32" t="s">
        <v>105</v>
      </c>
      <c r="F14" s="14"/>
      <c r="G14" s="20"/>
    </row>
    <row r="15" spans="1:15" x14ac:dyDescent="0.3">
      <c r="A15" s="22" t="s">
        <v>112</v>
      </c>
      <c r="B15" s="11" t="s">
        <v>108</v>
      </c>
      <c r="C15" s="8"/>
      <c r="E15" s="12" t="s">
        <v>1</v>
      </c>
      <c r="F15" s="57">
        <f>Calcul!B1</f>
        <v>122</v>
      </c>
      <c r="G15" s="8" t="s">
        <v>81</v>
      </c>
    </row>
    <row r="16" spans="1:15" x14ac:dyDescent="0.3">
      <c r="A16" s="47">
        <v>0</v>
      </c>
      <c r="B16" s="48">
        <v>333</v>
      </c>
      <c r="C16" s="8" t="s">
        <v>81</v>
      </c>
      <c r="E16" s="12" t="s">
        <v>2</v>
      </c>
      <c r="F16" s="57">
        <f>Calcul!B2</f>
        <v>12.200000000000003</v>
      </c>
      <c r="G16" s="8" t="s">
        <v>81</v>
      </c>
    </row>
    <row r="17" spans="1:10" x14ac:dyDescent="0.3">
      <c r="A17" s="47">
        <v>200</v>
      </c>
      <c r="B17" s="48">
        <v>259</v>
      </c>
      <c r="C17" s="8" t="s">
        <v>81</v>
      </c>
      <c r="E17" s="12" t="s">
        <v>31</v>
      </c>
      <c r="F17" s="58">
        <f>Calcul!B4</f>
        <v>288.89999999999998</v>
      </c>
      <c r="G17" s="8" t="s">
        <v>81</v>
      </c>
    </row>
    <row r="18" spans="1:10" x14ac:dyDescent="0.3">
      <c r="A18" s="47">
        <v>300</v>
      </c>
      <c r="B18" s="48">
        <v>211</v>
      </c>
      <c r="C18" s="8" t="s">
        <v>81</v>
      </c>
      <c r="E18" s="26" t="s">
        <v>36</v>
      </c>
      <c r="F18" s="57">
        <f>Calcul!D3</f>
        <v>18.300000000000004</v>
      </c>
      <c r="G18" s="8" t="s">
        <v>81</v>
      </c>
    </row>
    <row r="19" spans="1:10" ht="15.6" x14ac:dyDescent="0.35">
      <c r="A19" s="47">
        <v>450</v>
      </c>
      <c r="B19" s="48">
        <v>157</v>
      </c>
      <c r="C19" s="8" t="s">
        <v>81</v>
      </c>
      <c r="E19" s="12" t="s">
        <v>111</v>
      </c>
      <c r="F19" s="57">
        <f>Calcul!B3</f>
        <v>4.06666666666667</v>
      </c>
      <c r="G19" s="8" t="s">
        <v>81</v>
      </c>
    </row>
    <row r="20" spans="1:10" x14ac:dyDescent="0.3">
      <c r="A20" s="47">
        <v>600</v>
      </c>
      <c r="B20" s="48">
        <v>116</v>
      </c>
      <c r="C20" s="8" t="s">
        <v>81</v>
      </c>
      <c r="E20" s="12" t="str">
        <f>Calcul!A15</f>
        <v>SN</v>
      </c>
      <c r="F20" s="57">
        <f>Calcul!B15</f>
        <v>4.9191540057125396</v>
      </c>
      <c r="G20" s="25" t="s">
        <v>82</v>
      </c>
    </row>
    <row r="21" spans="1:10" x14ac:dyDescent="0.3">
      <c r="A21" s="47">
        <v>750</v>
      </c>
      <c r="B21" s="48">
        <v>86.4</v>
      </c>
      <c r="C21" s="8" t="s">
        <v>81</v>
      </c>
      <c r="E21" s="12" t="s">
        <v>109</v>
      </c>
      <c r="F21" s="57">
        <f>Calcul!G1</f>
        <v>152027.02702702704</v>
      </c>
      <c r="G21" s="8" t="s">
        <v>79</v>
      </c>
    </row>
    <row r="22" spans="1:10" ht="15" thickBot="1" x14ac:dyDescent="0.35">
      <c r="A22" s="47">
        <v>900</v>
      </c>
      <c r="B22" s="48">
        <v>67.2</v>
      </c>
      <c r="C22" s="8" t="s">
        <v>81</v>
      </c>
      <c r="E22" s="13" t="s">
        <v>110</v>
      </c>
      <c r="F22" s="56">
        <f>Calcul!B16</f>
        <v>18.994594594594595</v>
      </c>
      <c r="G22" s="9"/>
    </row>
    <row r="23" spans="1:10" x14ac:dyDescent="0.3">
      <c r="A23" s="47">
        <v>1200</v>
      </c>
      <c r="B23" s="48">
        <v>44.1</v>
      </c>
      <c r="C23" s="8" t="s">
        <v>81</v>
      </c>
    </row>
    <row r="24" spans="1:10" ht="15" thickBot="1" x14ac:dyDescent="0.35">
      <c r="A24" s="49">
        <v>1500</v>
      </c>
      <c r="B24" s="50">
        <v>31.9</v>
      </c>
      <c r="C24" s="9" t="s">
        <v>81</v>
      </c>
      <c r="D24" s="2"/>
      <c r="E24" s="74" t="str">
        <f>Calcul!A19</f>
        <v>Les calculs sont fiables (aucune extrapolation)</v>
      </c>
      <c r="F24" s="74"/>
      <c r="G24" s="74"/>
    </row>
    <row r="25" spans="1:10" x14ac:dyDescent="0.3">
      <c r="G25" s="2"/>
    </row>
    <row r="27" spans="1:10" x14ac:dyDescent="0.3">
      <c r="G27" s="2"/>
    </row>
    <row r="28" spans="1:10" x14ac:dyDescent="0.3">
      <c r="G28" s="2"/>
    </row>
    <row r="29" spans="1:10" x14ac:dyDescent="0.3">
      <c r="G29" s="2"/>
      <c r="I29" s="1"/>
      <c r="J29" s="1"/>
    </row>
    <row r="30" spans="1:10" x14ac:dyDescent="0.3">
      <c r="G30" s="2"/>
      <c r="I30" s="1"/>
      <c r="J30" s="1"/>
    </row>
    <row r="31" spans="1:10" x14ac:dyDescent="0.3">
      <c r="G31" s="2"/>
    </row>
    <row r="32" spans="1:10" x14ac:dyDescent="0.3">
      <c r="G32" s="2"/>
    </row>
    <row r="33" spans="1:7" x14ac:dyDescent="0.3">
      <c r="A33" s="2"/>
      <c r="B33" s="2"/>
      <c r="C33" s="2"/>
      <c r="G33" s="2"/>
    </row>
    <row r="34" spans="1:7" x14ac:dyDescent="0.3">
      <c r="A34" s="2"/>
      <c r="B34" s="2"/>
      <c r="C34" s="2"/>
      <c r="D34" s="2"/>
      <c r="E34" s="2"/>
      <c r="F34" s="2"/>
      <c r="G34" s="2"/>
    </row>
    <row r="35" spans="1:7" x14ac:dyDescent="0.3">
      <c r="A35" s="2"/>
      <c r="B35" s="2"/>
      <c r="C35" s="2"/>
      <c r="D35" s="2"/>
      <c r="E35" s="2"/>
      <c r="F35" s="2"/>
      <c r="G35" s="2"/>
    </row>
  </sheetData>
  <sheetProtection password="DB32" sheet="1" objects="1" scenarios="1" selectLockedCells="1"/>
  <dataConsolidate/>
  <mergeCells count="4">
    <mergeCell ref="E24:G24"/>
    <mergeCell ref="N1:O1"/>
    <mergeCell ref="N2:O2"/>
    <mergeCell ref="N3:O3"/>
  </mergeCells>
  <pageMargins left="0.70866141732283472" right="0.70866141732283472" top="0.74803149606299213" bottom="0.74803149606299213" header="0.31496062992125984" footer="0.31496062992125984"/>
  <pageSetup paperSize="9" scale="54"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CDDAAB3-C74C-48EE-AC4D-6EFA41CB11C9}">
            <xm:f>Calcul!$B$104=0</xm:f>
            <x14:dxf>
              <fill>
                <patternFill>
                  <bgColor rgb="FF00B050"/>
                </patternFill>
              </fill>
            </x14:dxf>
          </x14:cfRule>
          <xm:sqref>E24</xm:sqref>
        </x14:conditionalFormatting>
        <x14:conditionalFormatting xmlns:xm="http://schemas.microsoft.com/office/excel/2006/main">
          <x14:cfRule type="expression" priority="7" id="{3D0E1DB0-4D24-4BB8-A7C3-655AF4ACF706}">
            <xm:f>Calcul!$B$104=1</xm:f>
            <x14:dxf>
              <fill>
                <patternFill>
                  <bgColor rgb="FFFFC000"/>
                </patternFill>
              </fill>
            </x14:dxf>
          </x14:cfRule>
          <x14:cfRule type="expression" priority="8" id="{CF2F7063-9E81-4E60-A32B-F37052632FBA}">
            <xm:f>Calcul!$B$104=2</xm:f>
            <x14:dxf>
              <fill>
                <patternFill>
                  <bgColor rgb="FFC00000"/>
                </patternFill>
              </fill>
            </x14:dxf>
          </x14:cfRule>
          <xm:sqref>E24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Calcul!$C$99:$C$103</xm:f>
          </x14:formula1>
          <xm:sqref>B12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G104"/>
  <sheetViews>
    <sheetView showGridLines="0" showRowColHeaders="0" workbookViewId="0"/>
  </sheetViews>
  <sheetFormatPr baseColWidth="10" defaultColWidth="9.109375" defaultRowHeight="14.4" x14ac:dyDescent="0.3"/>
  <cols>
    <col min="1" max="1" width="13" style="60" customWidth="1"/>
    <col min="2" max="2" width="23.44140625" style="60" customWidth="1"/>
    <col min="3" max="3" width="11.5546875" style="60" customWidth="1"/>
    <col min="4" max="4" width="9.109375" style="60"/>
    <col min="5" max="5" width="10" style="60" bestFit="1" customWidth="1"/>
    <col min="6" max="6" width="46" style="60" customWidth="1"/>
    <col min="7" max="7" width="11.33203125" style="60" customWidth="1"/>
    <col min="8" max="8" width="3.33203125" style="60" customWidth="1"/>
    <col min="9" max="9" width="6.5546875" style="60" customWidth="1"/>
    <col min="10" max="10" width="12" style="60" bestFit="1" customWidth="1"/>
    <col min="11" max="11" width="9.6640625" style="60" customWidth="1"/>
    <col min="12" max="12" width="9.109375" style="60"/>
    <col min="13" max="13" width="5.6640625" style="60" customWidth="1"/>
    <col min="14" max="14" width="6.44140625" style="60" customWidth="1"/>
    <col min="15" max="15" width="5.5546875" style="60" customWidth="1"/>
    <col min="16" max="16" width="15.6640625" style="60" customWidth="1"/>
    <col min="17" max="17" width="5.5546875" style="60" customWidth="1"/>
    <col min="18" max="18" width="6.88671875" style="60" customWidth="1"/>
    <col min="19" max="20" width="6.6640625" style="60" customWidth="1"/>
    <col min="21" max="21" width="7.109375" style="60" customWidth="1"/>
    <col min="22" max="22" width="6.6640625" style="60" customWidth="1"/>
    <col min="23" max="23" width="7.109375" style="60" customWidth="1"/>
    <col min="24" max="24" width="6.44140625" style="60" customWidth="1"/>
    <col min="25" max="25" width="6.109375" style="60" customWidth="1"/>
    <col min="26" max="27" width="6.6640625" style="60" customWidth="1"/>
    <col min="28" max="28" width="17" style="60" customWidth="1"/>
    <col min="29" max="16384" width="9.109375" style="60"/>
  </cols>
  <sheetData>
    <row r="1" spans="1:33" ht="15" x14ac:dyDescent="0.25">
      <c r="A1" s="60" t="s">
        <v>1</v>
      </c>
      <c r="B1" s="60">
        <f>('Paramètres d''entrée'!B16-'Paramètres d''entrée'!B18)</f>
        <v>122</v>
      </c>
      <c r="F1" s="60" t="s">
        <v>4</v>
      </c>
      <c r="G1" s="60">
        <f>'Paramètres d''entrée'!F8*'Paramètres d''entrée'!F8/(2*0.001*('Paramètres d''entrée'!B16-'Paramètres d''entrée'!B17))</f>
        <v>152027.02702702704</v>
      </c>
    </row>
    <row r="2" spans="1:33" x14ac:dyDescent="0.3">
      <c r="A2" s="60" t="s">
        <v>2</v>
      </c>
      <c r="B2" s="60">
        <f>('Paramètres d''entrée'!B23-'Paramètres d''entrée'!B24)</f>
        <v>12.200000000000003</v>
      </c>
      <c r="F2" s="60" t="s">
        <v>13</v>
      </c>
      <c r="G2" s="60">
        <f>(5/9)*(G3-32)</f>
        <v>28.833186748754031</v>
      </c>
    </row>
    <row r="3" spans="1:33" x14ac:dyDescent="0.3">
      <c r="A3" s="60" t="s">
        <v>22</v>
      </c>
      <c r="B3" s="60">
        <f>IF(AND(G11=0,G12=0),J9,IF(AND(G11=0,G12&lt;&gt;0),O12,O9))</f>
        <v>4.06666666666667</v>
      </c>
      <c r="C3" s="60" t="s">
        <v>70</v>
      </c>
      <c r="D3" s="60">
        <f>IF(AND(G11=0,G13=0),V9,IF(AND(G11=0,G13&lt;&gt;0),AA12,AA9))</f>
        <v>18.300000000000004</v>
      </c>
      <c r="F3" s="60" t="s">
        <v>9</v>
      </c>
      <c r="G3" s="60">
        <f>G6*(1+1/(G5+4))-34/(G5+4)+6</f>
        <v>83.899736147757253</v>
      </c>
    </row>
    <row r="4" spans="1:33" x14ac:dyDescent="0.3">
      <c r="A4" s="60" t="s">
        <v>31</v>
      </c>
      <c r="B4" s="60">
        <f>IF(AND(G11=0,G12=0),J11,IF(AND(G11=0,G12&lt;&gt;0),J11,O10))</f>
        <v>288.89999999999998</v>
      </c>
      <c r="F4" s="61" t="s">
        <v>10</v>
      </c>
      <c r="G4" s="61">
        <f>(1/3)*'Paramètres d''entrée'!B6*10^-3</f>
        <v>0.05</v>
      </c>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1:33" x14ac:dyDescent="0.3">
      <c r="A5" s="60" t="s">
        <v>61</v>
      </c>
      <c r="B5" s="60">
        <f>IF(AND(G11=0,G12=0),J8,O8)</f>
        <v>44.1</v>
      </c>
      <c r="F5" s="61" t="s">
        <v>11</v>
      </c>
      <c r="G5" s="61">
        <f>G4/0.0254</f>
        <v>1.9685039370078743</v>
      </c>
      <c r="H5" s="61"/>
      <c r="I5" s="61"/>
      <c r="J5" s="61"/>
      <c r="K5" s="61"/>
      <c r="L5" s="61"/>
      <c r="M5" s="61"/>
      <c r="N5" s="61"/>
      <c r="O5" s="61"/>
      <c r="P5" s="61"/>
      <c r="Q5" s="61"/>
      <c r="R5" s="61"/>
      <c r="S5" s="61"/>
      <c r="T5" s="61"/>
      <c r="U5" s="61"/>
      <c r="V5" s="61"/>
      <c r="W5" s="61"/>
      <c r="X5" s="61"/>
      <c r="Y5" s="61"/>
      <c r="Z5" s="61"/>
      <c r="AA5" s="61"/>
      <c r="AB5" s="61"/>
      <c r="AC5" s="61"/>
      <c r="AD5" s="61"/>
      <c r="AE5" s="61"/>
      <c r="AF5" s="61"/>
      <c r="AG5" s="61"/>
    </row>
    <row r="6" spans="1:33" x14ac:dyDescent="0.3">
      <c r="A6" s="60" t="s">
        <v>62</v>
      </c>
      <c r="B6" s="60">
        <f>IF(AND(G11=0,G12=0),L8,Q8)</f>
        <v>40.033333333333331</v>
      </c>
      <c r="F6" s="61" t="s">
        <v>12</v>
      </c>
      <c r="G6" s="61">
        <f>'Paramètres d''entrée'!F12*(9/5)+32</f>
        <v>71.599999999999994</v>
      </c>
      <c r="H6" s="61"/>
      <c r="I6" s="83" t="s">
        <v>33</v>
      </c>
      <c r="J6" s="83"/>
      <c r="K6" s="83"/>
      <c r="L6" s="83"/>
      <c r="M6" s="61"/>
      <c r="N6" s="83" t="s">
        <v>34</v>
      </c>
      <c r="O6" s="83"/>
      <c r="P6" s="83"/>
      <c r="Q6" s="83"/>
      <c r="R6" s="61"/>
      <c r="S6" s="61"/>
      <c r="T6" s="61"/>
      <c r="U6" s="83" t="s">
        <v>33</v>
      </c>
      <c r="V6" s="83"/>
      <c r="W6" s="83"/>
      <c r="X6" s="83"/>
      <c r="Y6" s="61"/>
      <c r="Z6" s="83" t="s">
        <v>34</v>
      </c>
      <c r="AA6" s="83"/>
      <c r="AB6" s="83"/>
      <c r="AC6" s="83"/>
      <c r="AD6" s="61"/>
      <c r="AE6" s="61"/>
      <c r="AF6" s="61"/>
      <c r="AG6" s="61"/>
    </row>
    <row r="7" spans="1:33" ht="15" x14ac:dyDescent="0.25">
      <c r="A7" s="60" t="s">
        <v>6</v>
      </c>
      <c r="B7" s="60">
        <f>B40+C40/(1+EXP(D40+E40*LOG(B46)))</f>
        <v>3.6146595378477446</v>
      </c>
      <c r="F7" s="61"/>
      <c r="G7" s="61"/>
      <c r="H7" s="61"/>
      <c r="I7" s="61" t="s">
        <v>28</v>
      </c>
      <c r="J7" s="61"/>
      <c r="K7" s="61" t="s">
        <v>29</v>
      </c>
      <c r="L7" s="61"/>
      <c r="M7" s="61"/>
      <c r="N7" s="61" t="s">
        <v>28</v>
      </c>
      <c r="O7" s="61"/>
      <c r="P7" s="61" t="s">
        <v>29</v>
      </c>
      <c r="Q7" s="61"/>
      <c r="R7" s="61"/>
      <c r="S7" s="61"/>
      <c r="T7" s="61"/>
      <c r="U7" s="61" t="s">
        <v>28</v>
      </c>
      <c r="V7" s="61"/>
      <c r="W7" s="61" t="s">
        <v>69</v>
      </c>
      <c r="X7" s="61"/>
      <c r="Y7" s="61"/>
      <c r="Z7" s="61" t="s">
        <v>28</v>
      </c>
      <c r="AA7" s="61"/>
      <c r="AB7" s="61" t="s">
        <v>69</v>
      </c>
      <c r="AC7" s="61"/>
      <c r="AD7" s="61"/>
      <c r="AE7" s="61" t="s">
        <v>20</v>
      </c>
      <c r="AF7" s="61">
        <f>Calcul!G8</f>
        <v>800</v>
      </c>
      <c r="AG7" s="61"/>
    </row>
    <row r="8" spans="1:33" ht="15" x14ac:dyDescent="0.25">
      <c r="A8" s="60" t="s">
        <v>5</v>
      </c>
      <c r="B8" s="60">
        <f>10^B7</f>
        <v>4117.7458469801877</v>
      </c>
      <c r="F8" s="61" t="s">
        <v>20</v>
      </c>
      <c r="G8" s="61">
        <f>('Paramètres d''entrée'!B6+'Paramètres d''entrée'!B7+'Paramètres d''entrée'!B8)</f>
        <v>800</v>
      </c>
      <c r="H8" s="61"/>
      <c r="I8" s="61" t="s">
        <v>30</v>
      </c>
      <c r="J8" s="61">
        <f>M24+(G9-L24)*(N24-M24)/(K24-L24)</f>
        <v>44.1</v>
      </c>
      <c r="K8" s="61" t="s">
        <v>30</v>
      </c>
      <c r="L8" s="61">
        <f>S24+(G10-R24)*(T24-S24)/(Q24-R24)</f>
        <v>40.033333333333331</v>
      </c>
      <c r="M8" s="61"/>
      <c r="N8" s="61" t="s">
        <v>30</v>
      </c>
      <c r="O8" s="61">
        <f>G23+(G9-F23)*(G23-G22)/(F23-F22)</f>
        <v>44.1</v>
      </c>
      <c r="P8" s="61" t="s">
        <v>30</v>
      </c>
      <c r="Q8" s="61">
        <f>G23+(G12-F23)*(G23-G22)/(F23-F22)</f>
        <v>92.9</v>
      </c>
      <c r="R8" s="61"/>
      <c r="S8" s="61"/>
      <c r="T8" s="61"/>
      <c r="U8" s="61" t="s">
        <v>30</v>
      </c>
      <c r="V8" s="61">
        <f>Y24+(AF8-X24)*(Z24-Y24)/(W24-X24)</f>
        <v>44.1</v>
      </c>
      <c r="W8" s="61" t="s">
        <v>30</v>
      </c>
      <c r="X8" s="61" t="e">
        <f>AE24+(AF9-AD24)*(AF24-AE24)/(AC24-AD24)</f>
        <v>#DIV/0!</v>
      </c>
      <c r="Y8" s="61"/>
      <c r="Z8" s="61" t="s">
        <v>30</v>
      </c>
      <c r="AA8" s="61">
        <f>G23+(G11-F23)*(G23-G22)/(F23-F22)</f>
        <v>92.9</v>
      </c>
      <c r="AB8" s="61" t="s">
        <v>30</v>
      </c>
      <c r="AC8" s="61">
        <f>G23+(G13-F23)*(G23-G22)/(F23-F22)</f>
        <v>25.799999999999997</v>
      </c>
      <c r="AD8" s="61"/>
      <c r="AE8" s="61" t="s">
        <v>3</v>
      </c>
      <c r="AF8" s="61">
        <f>G9</f>
        <v>1200</v>
      </c>
      <c r="AG8" s="61"/>
    </row>
    <row r="9" spans="1:33" x14ac:dyDescent="0.3">
      <c r="A9" s="60" t="s">
        <v>7</v>
      </c>
      <c r="B9" s="60">
        <f>(41.333*LN(B8)-438.43)*(LN('Paramètres d''entrée'!B6)-5.9877)+50.683</f>
        <v>142.93052481889401</v>
      </c>
      <c r="F9" s="61" t="s">
        <v>3</v>
      </c>
      <c r="G9" s="61">
        <f>1.5*G8</f>
        <v>1200</v>
      </c>
      <c r="H9" s="61"/>
      <c r="I9" s="61" t="s">
        <v>36</v>
      </c>
      <c r="J9" s="61">
        <f>J8-L8</f>
        <v>4.06666666666667</v>
      </c>
      <c r="K9" s="61"/>
      <c r="L9" s="61"/>
      <c r="M9" s="61"/>
      <c r="N9" s="61" t="s">
        <v>36</v>
      </c>
      <c r="O9" s="61">
        <f>O8-Q8</f>
        <v>-48.800000000000004</v>
      </c>
      <c r="P9" s="84" t="s">
        <v>37</v>
      </c>
      <c r="Q9" s="61"/>
      <c r="R9" s="61"/>
      <c r="S9" s="61"/>
      <c r="T9" s="61"/>
      <c r="U9" s="61" t="s">
        <v>36</v>
      </c>
      <c r="V9" s="61" t="e">
        <f>V8-X8</f>
        <v>#DIV/0!</v>
      </c>
      <c r="W9" s="61"/>
      <c r="X9" s="61"/>
      <c r="Y9" s="61"/>
      <c r="Z9" s="61" t="s">
        <v>36</v>
      </c>
      <c r="AA9" s="61">
        <f>AA8-AC8</f>
        <v>67.100000000000009</v>
      </c>
      <c r="AB9" s="84" t="s">
        <v>37</v>
      </c>
      <c r="AC9" s="61"/>
      <c r="AD9" s="61"/>
      <c r="AE9" s="61" t="s">
        <v>67</v>
      </c>
      <c r="AF9" s="61">
        <f>AF8+450</f>
        <v>1650</v>
      </c>
      <c r="AG9" s="61"/>
    </row>
    <row r="10" spans="1:33" x14ac:dyDescent="0.3">
      <c r="A10" s="60" t="s">
        <v>52</v>
      </c>
      <c r="B10" s="60">
        <f>10^(10.655)*D3^(-1.254)*G8^(-2.453)</f>
        <v>89.249665150137716</v>
      </c>
      <c r="F10" s="61" t="s">
        <v>21</v>
      </c>
      <c r="G10" s="61">
        <f>G9+100</f>
        <v>1300</v>
      </c>
      <c r="H10" s="61"/>
      <c r="I10" s="61" t="s">
        <v>32</v>
      </c>
      <c r="J10" s="61">
        <f>G15</f>
        <v>333</v>
      </c>
      <c r="K10" s="61"/>
      <c r="L10" s="61"/>
      <c r="M10" s="61"/>
      <c r="N10" s="61" t="s">
        <v>31</v>
      </c>
      <c r="O10" s="61">
        <f>J10-O8</f>
        <v>288.89999999999998</v>
      </c>
      <c r="P10" s="84"/>
      <c r="Q10" s="61"/>
      <c r="R10" s="61"/>
      <c r="S10" s="61"/>
      <c r="T10" s="61"/>
      <c r="U10" s="61" t="s">
        <v>32</v>
      </c>
      <c r="V10" s="61">
        <f>G15</f>
        <v>333</v>
      </c>
      <c r="W10" s="61"/>
      <c r="X10" s="61"/>
      <c r="Y10" s="61"/>
      <c r="Z10" s="61" t="s">
        <v>31</v>
      </c>
      <c r="AA10" s="61">
        <f>V10-AA8</f>
        <v>240.1</v>
      </c>
      <c r="AB10" s="84"/>
      <c r="AC10" s="61"/>
      <c r="AD10" s="61"/>
      <c r="AE10" s="61" t="s">
        <v>40</v>
      </c>
      <c r="AF10" s="61">
        <f>IF(AF8&gt;1500,AF8,0)</f>
        <v>0</v>
      </c>
      <c r="AG10" s="61"/>
    </row>
    <row r="11" spans="1:33" x14ac:dyDescent="0.3">
      <c r="A11" s="60" t="s">
        <v>137</v>
      </c>
      <c r="B11" s="60">
        <f>('Paramètres d''entrée'!B6*(0.199+0.03868*LOG('Paramètres d''entrée'!B9)-0.0001122*'Paramètres d''entrée'!B10-0.0008627*'Paramètres d''entrée'!B6)/(2*'Paramètres d''entrée'!F21))*10^6</f>
        <v>95.397458179373643</v>
      </c>
      <c r="F11" s="61" t="s">
        <v>40</v>
      </c>
      <c r="G11" s="61">
        <f>IF(G9&gt;1500,G9,0)</f>
        <v>0</v>
      </c>
      <c r="H11" s="61">
        <f>IF(G9&gt;1500,1,0)</f>
        <v>0</v>
      </c>
      <c r="I11" s="61" t="s">
        <v>31</v>
      </c>
      <c r="J11" s="61">
        <f>J10-J8</f>
        <v>288.89999999999998</v>
      </c>
      <c r="K11" s="61"/>
      <c r="L11" s="61"/>
      <c r="M11" s="61"/>
      <c r="N11" s="61"/>
      <c r="O11" s="61"/>
      <c r="P11" s="61"/>
      <c r="Q11" s="61"/>
      <c r="R11" s="61"/>
      <c r="S11" s="61"/>
      <c r="T11" s="61"/>
      <c r="U11" s="61" t="s">
        <v>31</v>
      </c>
      <c r="V11" s="61">
        <f>V10-V8</f>
        <v>288.89999999999998</v>
      </c>
      <c r="W11" s="61"/>
      <c r="X11" s="61"/>
      <c r="Y11" s="61"/>
      <c r="Z11" s="61"/>
      <c r="AA11" s="61"/>
      <c r="AB11" s="61"/>
      <c r="AC11" s="61"/>
      <c r="AD11" s="61"/>
      <c r="AE11" s="61" t="s">
        <v>68</v>
      </c>
      <c r="AF11" s="61">
        <f>IF(AF9&gt;1500,AF9,0)</f>
        <v>1650</v>
      </c>
      <c r="AG11" s="61"/>
    </row>
    <row r="12" spans="1:33" x14ac:dyDescent="0.3">
      <c r="A12" s="60" t="s">
        <v>63</v>
      </c>
      <c r="B12" s="60">
        <f>-25.08419319+0.2401961532*B4+13.96688171*B3</f>
        <v>101.10712775681337</v>
      </c>
      <c r="F12" s="61" t="s">
        <v>35</v>
      </c>
      <c r="G12" s="61">
        <f>IF(G10&gt;1500,G10,0)</f>
        <v>0</v>
      </c>
      <c r="H12" s="61">
        <f>IF(G10&gt;1500,1,0)</f>
        <v>0</v>
      </c>
      <c r="I12" s="61"/>
      <c r="J12" s="61"/>
      <c r="K12" s="61"/>
      <c r="L12" s="61"/>
      <c r="M12" s="61"/>
      <c r="N12" s="61" t="s">
        <v>36</v>
      </c>
      <c r="O12" s="61">
        <f>J8-Q8</f>
        <v>-48.800000000000004</v>
      </c>
      <c r="P12" s="85" t="s">
        <v>38</v>
      </c>
      <c r="Q12" s="61"/>
      <c r="R12" s="61"/>
      <c r="S12" s="61"/>
      <c r="T12" s="61"/>
      <c r="U12" s="61"/>
      <c r="V12" s="61"/>
      <c r="W12" s="61"/>
      <c r="X12" s="61"/>
      <c r="Y12" s="61"/>
      <c r="Z12" s="61" t="s">
        <v>36</v>
      </c>
      <c r="AA12" s="61">
        <f>V8-AC8</f>
        <v>18.300000000000004</v>
      </c>
      <c r="AB12" s="85" t="s">
        <v>38</v>
      </c>
      <c r="AC12" s="61"/>
      <c r="AD12" s="61"/>
      <c r="AE12" s="61"/>
      <c r="AF12" s="61"/>
      <c r="AG12" s="61"/>
    </row>
    <row r="13" spans="1:33" x14ac:dyDescent="0.3">
      <c r="A13" s="60" t="s">
        <v>8</v>
      </c>
      <c r="B13" s="60">
        <f>Calcul!F19*(9/5)+32</f>
        <v>1112</v>
      </c>
      <c r="F13" s="61" t="s">
        <v>68</v>
      </c>
      <c r="G13" s="61">
        <f>IF(AF11&gt;1500,AF11,0)</f>
        <v>1650</v>
      </c>
      <c r="H13" s="61">
        <f>H11+H12</f>
        <v>0</v>
      </c>
      <c r="I13" s="61"/>
      <c r="J13" s="61"/>
      <c r="K13" s="61"/>
      <c r="L13" s="61"/>
      <c r="M13" s="61"/>
      <c r="N13" s="61"/>
      <c r="O13" s="61"/>
      <c r="P13" s="85"/>
      <c r="Q13" s="61"/>
      <c r="R13" s="61"/>
      <c r="S13" s="61"/>
      <c r="T13" s="61"/>
      <c r="U13" s="61"/>
      <c r="V13" s="61"/>
      <c r="W13" s="61"/>
      <c r="X13" s="61"/>
      <c r="Y13" s="61"/>
      <c r="Z13" s="61"/>
      <c r="AA13" s="61"/>
      <c r="AB13" s="85"/>
      <c r="AC13" s="61"/>
      <c r="AD13" s="61"/>
      <c r="AE13" s="61"/>
      <c r="AF13" s="61"/>
      <c r="AG13" s="61"/>
    </row>
    <row r="14" spans="1:33" x14ac:dyDescent="0.3">
      <c r="F14" s="68" t="s">
        <v>0</v>
      </c>
      <c r="G14" s="61" t="s">
        <v>23</v>
      </c>
      <c r="H14" s="61"/>
      <c r="I14" s="61"/>
      <c r="J14" s="61"/>
      <c r="K14" s="61"/>
      <c r="L14" s="61"/>
      <c r="M14" s="61"/>
      <c r="N14" s="61"/>
      <c r="O14" s="61"/>
      <c r="P14" s="61"/>
      <c r="Q14" s="61"/>
      <c r="R14" s="61"/>
      <c r="S14" s="61"/>
      <c r="T14" s="61"/>
      <c r="U14" s="61"/>
      <c r="V14" s="61"/>
      <c r="W14" s="61"/>
      <c r="X14" s="61"/>
      <c r="Y14" s="61"/>
      <c r="Z14" s="61"/>
      <c r="AA14" s="61"/>
      <c r="AB14" s="61"/>
      <c r="AC14" s="61"/>
      <c r="AD14" s="61" t="str">
        <f t="shared" ref="AD14:AD23" si="0">IF(AB14=1,F13,"")</f>
        <v/>
      </c>
      <c r="AE14" s="61"/>
      <c r="AF14" s="61"/>
      <c r="AG14" s="61"/>
    </row>
    <row r="15" spans="1:33" ht="15" x14ac:dyDescent="0.25">
      <c r="A15" s="60" t="s">
        <v>117</v>
      </c>
      <c r="B15" s="60">
        <f>0.4728*(B4)^(-0.481)*G8^(0.7581)</f>
        <v>4.9191540057125396</v>
      </c>
      <c r="F15" s="69">
        <v>0</v>
      </c>
      <c r="G15" s="61">
        <f>'Paramètres d''entrée'!B16</f>
        <v>333</v>
      </c>
      <c r="H15" s="61"/>
      <c r="I15" s="61">
        <f>IF($G$9&lt;=F15,1,0)</f>
        <v>0</v>
      </c>
      <c r="J15" s="61"/>
      <c r="K15" s="61" t="str">
        <f>IF(J15=1,F15,"")</f>
        <v/>
      </c>
      <c r="L15" s="61"/>
      <c r="M15" s="61" t="str">
        <f>IF(J15=1,G14,"")</f>
        <v/>
      </c>
      <c r="N15" s="61" t="str">
        <f>IF(J15=1,G15,"")</f>
        <v/>
      </c>
      <c r="O15" s="61">
        <f>IF($G$10&lt;=F15,1,0)</f>
        <v>0</v>
      </c>
      <c r="P15" s="61"/>
      <c r="Q15" s="61" t="str">
        <f>IF(P15=1,F15,"")</f>
        <v/>
      </c>
      <c r="R15" s="61"/>
      <c r="S15" s="61" t="str">
        <f>IF(P15=1,G14,"")</f>
        <v/>
      </c>
      <c r="T15" s="61" t="str">
        <f>IF(P15=1,G15,"")</f>
        <v/>
      </c>
      <c r="U15" s="61">
        <f t="shared" ref="U15:U23" si="1">IF($G$9&lt;=F15,1,0)</f>
        <v>0</v>
      </c>
      <c r="V15" s="61"/>
      <c r="W15" s="61" t="str">
        <f t="shared" ref="W15:W23" si="2">IF(V15=1,F15,"")</f>
        <v/>
      </c>
      <c r="X15" s="61" t="str">
        <f t="shared" ref="X15:X23" si="3">IF(V15=1,F14,"")</f>
        <v/>
      </c>
      <c r="Y15" s="61" t="str">
        <f t="shared" ref="Y15:Y23" si="4">IF(V15=1,G14,"")</f>
        <v/>
      </c>
      <c r="Z15" s="61" t="str">
        <f t="shared" ref="Z15:Z23" si="5">IF(V15=1,G15,"")</f>
        <v/>
      </c>
      <c r="AA15" s="61">
        <f t="shared" ref="AA15:AA23" si="6">IF($AF$9&lt;=F15,1,0)</f>
        <v>0</v>
      </c>
      <c r="AB15" s="61"/>
      <c r="AC15" s="61" t="str">
        <f t="shared" ref="AC15:AC23" si="7">IF(AB15=1,F15,"")</f>
        <v/>
      </c>
      <c r="AD15" s="61" t="str">
        <f t="shared" si="0"/>
        <v/>
      </c>
      <c r="AE15" s="61" t="str">
        <f t="shared" ref="AE15:AE23" si="8">IF(AB15=1,G14,"")</f>
        <v/>
      </c>
      <c r="AF15" s="61" t="str">
        <f t="shared" ref="AF15:AF23" si="9">IF(AB15=1,G15,"")</f>
        <v/>
      </c>
      <c r="AG15" s="61"/>
    </row>
    <row r="16" spans="1:33" x14ac:dyDescent="0.3">
      <c r="A16" s="60" t="s">
        <v>39</v>
      </c>
      <c r="B16" s="60">
        <f>6*(1+(2*G17/G15)+(2*G19/G15)+(G21/G15))</f>
        <v>18.994594594594595</v>
      </c>
      <c r="F16" s="69">
        <v>200</v>
      </c>
      <c r="G16" s="61">
        <f>'Paramètres d''entrée'!B17</f>
        <v>259</v>
      </c>
      <c r="H16" s="61"/>
      <c r="I16" s="61">
        <f t="shared" ref="I16:I22" si="10">IF($G$9&lt;=F16,1,0)</f>
        <v>0</v>
      </c>
      <c r="J16" s="61">
        <f>I16-I15</f>
        <v>0</v>
      </c>
      <c r="K16" s="61" t="str">
        <f t="shared" ref="K16:K21" si="11">IF(J16=1,F16,"")</f>
        <v/>
      </c>
      <c r="L16" s="61" t="str">
        <f>IF(J16=1,F15,"")</f>
        <v/>
      </c>
      <c r="M16" s="61" t="str">
        <f t="shared" ref="M16:M21" si="12">IF(J16=1,G15,"")</f>
        <v/>
      </c>
      <c r="N16" s="61" t="str">
        <f t="shared" ref="N16:N23" si="13">IF(J16=1,G16,"")</f>
        <v/>
      </c>
      <c r="O16" s="61">
        <f t="shared" ref="O16:O22" si="14">IF($G$10&lt;=F16,1,0)</f>
        <v>0</v>
      </c>
      <c r="P16" s="61">
        <f>O16-O15</f>
        <v>0</v>
      </c>
      <c r="Q16" s="61" t="str">
        <f t="shared" ref="Q16:Q21" si="15">IF(P16=1,F16,"")</f>
        <v/>
      </c>
      <c r="R16" s="61" t="str">
        <f>IF(P16=1,F15,"")</f>
        <v/>
      </c>
      <c r="S16" s="61" t="str">
        <f t="shared" ref="S16:S23" si="16">IF(P16=1,G15,"")</f>
        <v/>
      </c>
      <c r="T16" s="61" t="str">
        <f t="shared" ref="T16:T23" si="17">IF(P16=1,G16,"")</f>
        <v/>
      </c>
      <c r="U16" s="61">
        <f t="shared" si="1"/>
        <v>0</v>
      </c>
      <c r="V16" s="61">
        <f>U16-U15</f>
        <v>0</v>
      </c>
      <c r="W16" s="61" t="str">
        <f t="shared" si="2"/>
        <v/>
      </c>
      <c r="X16" s="61" t="str">
        <f t="shared" si="3"/>
        <v/>
      </c>
      <c r="Y16" s="61" t="str">
        <f t="shared" si="4"/>
        <v/>
      </c>
      <c r="Z16" s="61" t="str">
        <f t="shared" si="5"/>
        <v/>
      </c>
      <c r="AA16" s="61">
        <f t="shared" si="6"/>
        <v>0</v>
      </c>
      <c r="AB16" s="61">
        <f>AA16-AA15</f>
        <v>0</v>
      </c>
      <c r="AC16" s="61" t="str">
        <f t="shared" si="7"/>
        <v/>
      </c>
      <c r="AD16" s="61" t="str">
        <f t="shared" si="0"/>
        <v/>
      </c>
      <c r="AE16" s="61" t="str">
        <f t="shared" si="8"/>
        <v/>
      </c>
      <c r="AF16" s="61" t="str">
        <f t="shared" si="9"/>
        <v/>
      </c>
      <c r="AG16" s="61"/>
    </row>
    <row r="17" spans="1:33" ht="15" x14ac:dyDescent="0.25">
      <c r="F17" s="69">
        <v>300</v>
      </c>
      <c r="G17" s="61">
        <f>'Paramètres d''entrée'!B18</f>
        <v>211</v>
      </c>
      <c r="H17" s="61"/>
      <c r="I17" s="61">
        <f t="shared" si="10"/>
        <v>0</v>
      </c>
      <c r="J17" s="61">
        <f t="shared" ref="J17:J23" si="18">I17-I16</f>
        <v>0</v>
      </c>
      <c r="K17" s="61" t="str">
        <f t="shared" si="11"/>
        <v/>
      </c>
      <c r="L17" s="61" t="str">
        <f t="shared" ref="L17:L23" si="19">IF(J17=1,F16,"")</f>
        <v/>
      </c>
      <c r="M17" s="61" t="str">
        <f t="shared" si="12"/>
        <v/>
      </c>
      <c r="N17" s="61" t="str">
        <f t="shared" si="13"/>
        <v/>
      </c>
      <c r="O17" s="61">
        <f t="shared" si="14"/>
        <v>0</v>
      </c>
      <c r="P17" s="61">
        <f t="shared" ref="P17:P23" si="20">O17-O16</f>
        <v>0</v>
      </c>
      <c r="Q17" s="61" t="str">
        <f t="shared" si="15"/>
        <v/>
      </c>
      <c r="R17" s="61" t="str">
        <f t="shared" ref="R17:R22" si="21">IF(P17=1,F16,"")</f>
        <v/>
      </c>
      <c r="S17" s="61" t="str">
        <f t="shared" si="16"/>
        <v/>
      </c>
      <c r="T17" s="61" t="str">
        <f t="shared" si="17"/>
        <v/>
      </c>
      <c r="U17" s="61">
        <f t="shared" si="1"/>
        <v>0</v>
      </c>
      <c r="V17" s="61">
        <f t="shared" ref="V17:V22" si="22">U17-U16</f>
        <v>0</v>
      </c>
      <c r="W17" s="61" t="str">
        <f t="shared" si="2"/>
        <v/>
      </c>
      <c r="X17" s="61" t="str">
        <f t="shared" si="3"/>
        <v/>
      </c>
      <c r="Y17" s="61" t="str">
        <f t="shared" si="4"/>
        <v/>
      </c>
      <c r="Z17" s="61" t="str">
        <f t="shared" si="5"/>
        <v/>
      </c>
      <c r="AA17" s="61">
        <f t="shared" si="6"/>
        <v>0</v>
      </c>
      <c r="AB17" s="61">
        <f t="shared" ref="AB17" si="23">AA17-AA16</f>
        <v>0</v>
      </c>
      <c r="AC17" s="61" t="str">
        <f t="shared" si="7"/>
        <v/>
      </c>
      <c r="AD17" s="61" t="str">
        <f t="shared" si="0"/>
        <v/>
      </c>
      <c r="AE17" s="61" t="str">
        <f t="shared" si="8"/>
        <v/>
      </c>
      <c r="AF17" s="61" t="str">
        <f t="shared" si="9"/>
        <v/>
      </c>
      <c r="AG17" s="61"/>
    </row>
    <row r="18" spans="1:33" ht="15" x14ac:dyDescent="0.25">
      <c r="F18" s="69">
        <v>450</v>
      </c>
      <c r="G18" s="61">
        <f>'Paramètres d''entrée'!B19</f>
        <v>157</v>
      </c>
      <c r="H18" s="61"/>
      <c r="I18" s="61">
        <f t="shared" si="10"/>
        <v>0</v>
      </c>
      <c r="J18" s="61">
        <f t="shared" si="18"/>
        <v>0</v>
      </c>
      <c r="K18" s="61" t="str">
        <f t="shared" si="11"/>
        <v/>
      </c>
      <c r="L18" s="61" t="str">
        <f t="shared" si="19"/>
        <v/>
      </c>
      <c r="M18" s="61" t="str">
        <f t="shared" si="12"/>
        <v/>
      </c>
      <c r="N18" s="61" t="str">
        <f t="shared" si="13"/>
        <v/>
      </c>
      <c r="O18" s="61">
        <f t="shared" si="14"/>
        <v>0</v>
      </c>
      <c r="P18" s="61">
        <f>O18-O17</f>
        <v>0</v>
      </c>
      <c r="Q18" s="61" t="str">
        <f t="shared" si="15"/>
        <v/>
      </c>
      <c r="R18" s="61" t="str">
        <f t="shared" si="21"/>
        <v/>
      </c>
      <c r="S18" s="61" t="str">
        <f t="shared" si="16"/>
        <v/>
      </c>
      <c r="T18" s="61" t="str">
        <f t="shared" si="17"/>
        <v/>
      </c>
      <c r="U18" s="61">
        <f t="shared" si="1"/>
        <v>0</v>
      </c>
      <c r="V18" s="61">
        <f t="shared" si="22"/>
        <v>0</v>
      </c>
      <c r="W18" s="61" t="str">
        <f t="shared" si="2"/>
        <v/>
      </c>
      <c r="X18" s="61" t="str">
        <f t="shared" si="3"/>
        <v/>
      </c>
      <c r="Y18" s="61" t="str">
        <f t="shared" si="4"/>
        <v/>
      </c>
      <c r="Z18" s="61" t="str">
        <f t="shared" si="5"/>
        <v/>
      </c>
      <c r="AA18" s="61">
        <f t="shared" si="6"/>
        <v>0</v>
      </c>
      <c r="AB18" s="61">
        <f>AA18-AA17</f>
        <v>0</v>
      </c>
      <c r="AC18" s="61" t="str">
        <f t="shared" si="7"/>
        <v/>
      </c>
      <c r="AD18" s="61" t="str">
        <f t="shared" si="0"/>
        <v/>
      </c>
      <c r="AE18" s="61" t="str">
        <f t="shared" si="8"/>
        <v/>
      </c>
      <c r="AF18" s="61" t="str">
        <f t="shared" si="9"/>
        <v/>
      </c>
      <c r="AG18" s="61"/>
    </row>
    <row r="19" spans="1:33" x14ac:dyDescent="0.3">
      <c r="A19" s="82" t="str">
        <f>IF(H13=0,"Les calculs sont fiables (aucune extrapolation)",IF(H13=1,"Les calculs incluent une extrapolation","Les calculs incluent deux extrapolations"))</f>
        <v>Les calculs sont fiables (aucune extrapolation)</v>
      </c>
      <c r="B19" s="82"/>
      <c r="C19" s="82"/>
      <c r="F19" s="69">
        <v>600</v>
      </c>
      <c r="G19" s="61">
        <f>'Paramètres d''entrée'!B20</f>
        <v>116</v>
      </c>
      <c r="H19" s="61"/>
      <c r="I19" s="61">
        <f t="shared" si="10"/>
        <v>0</v>
      </c>
      <c r="J19" s="61">
        <f t="shared" si="18"/>
        <v>0</v>
      </c>
      <c r="K19" s="61" t="str">
        <f t="shared" si="11"/>
        <v/>
      </c>
      <c r="L19" s="61" t="str">
        <f t="shared" si="19"/>
        <v/>
      </c>
      <c r="M19" s="61" t="str">
        <f t="shared" si="12"/>
        <v/>
      </c>
      <c r="N19" s="61" t="str">
        <f t="shared" si="13"/>
        <v/>
      </c>
      <c r="O19" s="61">
        <f t="shared" si="14"/>
        <v>0</v>
      </c>
      <c r="P19" s="61">
        <f t="shared" si="20"/>
        <v>0</v>
      </c>
      <c r="Q19" s="61" t="str">
        <f t="shared" si="15"/>
        <v/>
      </c>
      <c r="R19" s="61" t="str">
        <f t="shared" si="21"/>
        <v/>
      </c>
      <c r="S19" s="61" t="str">
        <f t="shared" si="16"/>
        <v/>
      </c>
      <c r="T19" s="61" t="str">
        <f t="shared" si="17"/>
        <v/>
      </c>
      <c r="U19" s="61">
        <f t="shared" si="1"/>
        <v>0</v>
      </c>
      <c r="V19" s="61">
        <f t="shared" si="22"/>
        <v>0</v>
      </c>
      <c r="W19" s="61" t="str">
        <f t="shared" si="2"/>
        <v/>
      </c>
      <c r="X19" s="61" t="str">
        <f t="shared" si="3"/>
        <v/>
      </c>
      <c r="Y19" s="61" t="str">
        <f t="shared" si="4"/>
        <v/>
      </c>
      <c r="Z19" s="61" t="str">
        <f t="shared" si="5"/>
        <v/>
      </c>
      <c r="AA19" s="61">
        <f t="shared" si="6"/>
        <v>0</v>
      </c>
      <c r="AB19" s="61">
        <f t="shared" ref="AB19:AB23" si="24">AA19-AA18</f>
        <v>0</v>
      </c>
      <c r="AC19" s="61" t="str">
        <f t="shared" si="7"/>
        <v/>
      </c>
      <c r="AD19" s="61" t="str">
        <f t="shared" si="0"/>
        <v/>
      </c>
      <c r="AE19" s="61" t="str">
        <f t="shared" si="8"/>
        <v/>
      </c>
      <c r="AF19" s="61" t="str">
        <f t="shared" si="9"/>
        <v/>
      </c>
      <c r="AG19" s="61"/>
    </row>
    <row r="20" spans="1:33" x14ac:dyDescent="0.3">
      <c r="A20" s="62"/>
      <c r="F20" s="69">
        <v>750</v>
      </c>
      <c r="G20" s="61">
        <f>'Paramètres d''entrée'!B21</f>
        <v>86.4</v>
      </c>
      <c r="H20" s="61"/>
      <c r="I20" s="61">
        <f t="shared" si="10"/>
        <v>0</v>
      </c>
      <c r="J20" s="61">
        <f t="shared" si="18"/>
        <v>0</v>
      </c>
      <c r="K20" s="61" t="str">
        <f t="shared" si="11"/>
        <v/>
      </c>
      <c r="L20" s="61" t="str">
        <f t="shared" si="19"/>
        <v/>
      </c>
      <c r="M20" s="61" t="str">
        <f t="shared" si="12"/>
        <v/>
      </c>
      <c r="N20" s="61" t="str">
        <f t="shared" si="13"/>
        <v/>
      </c>
      <c r="O20" s="61">
        <f t="shared" si="14"/>
        <v>0</v>
      </c>
      <c r="P20" s="61">
        <f t="shared" si="20"/>
        <v>0</v>
      </c>
      <c r="Q20" s="61" t="str">
        <f t="shared" si="15"/>
        <v/>
      </c>
      <c r="R20" s="61" t="str">
        <f t="shared" si="21"/>
        <v/>
      </c>
      <c r="S20" s="61" t="str">
        <f t="shared" si="16"/>
        <v/>
      </c>
      <c r="T20" s="61" t="str">
        <f t="shared" si="17"/>
        <v/>
      </c>
      <c r="U20" s="61">
        <f t="shared" si="1"/>
        <v>0</v>
      </c>
      <c r="V20" s="61">
        <f t="shared" si="22"/>
        <v>0</v>
      </c>
      <c r="W20" s="61" t="str">
        <f t="shared" si="2"/>
        <v/>
      </c>
      <c r="X20" s="61" t="str">
        <f t="shared" si="3"/>
        <v/>
      </c>
      <c r="Y20" s="61" t="str">
        <f t="shared" si="4"/>
        <v/>
      </c>
      <c r="Z20" s="61" t="str">
        <f t="shared" si="5"/>
        <v/>
      </c>
      <c r="AA20" s="61">
        <f t="shared" si="6"/>
        <v>0</v>
      </c>
      <c r="AB20" s="61">
        <f t="shared" si="24"/>
        <v>0</v>
      </c>
      <c r="AC20" s="61" t="str">
        <f t="shared" si="7"/>
        <v/>
      </c>
      <c r="AD20" s="61" t="str">
        <f t="shared" si="0"/>
        <v/>
      </c>
      <c r="AE20" s="61" t="str">
        <f t="shared" si="8"/>
        <v/>
      </c>
      <c r="AF20" s="61" t="str">
        <f t="shared" si="9"/>
        <v/>
      </c>
      <c r="AG20" s="61"/>
    </row>
    <row r="21" spans="1:33" x14ac:dyDescent="0.3">
      <c r="F21" s="69">
        <v>900</v>
      </c>
      <c r="G21" s="61">
        <f>'Paramètres d''entrée'!B22</f>
        <v>67.2</v>
      </c>
      <c r="H21" s="61"/>
      <c r="I21" s="61">
        <f t="shared" si="10"/>
        <v>0</v>
      </c>
      <c r="J21" s="61">
        <f t="shared" si="18"/>
        <v>0</v>
      </c>
      <c r="K21" s="61" t="str">
        <f t="shared" si="11"/>
        <v/>
      </c>
      <c r="L21" s="61" t="str">
        <f t="shared" si="19"/>
        <v/>
      </c>
      <c r="M21" s="61" t="str">
        <f t="shared" si="12"/>
        <v/>
      </c>
      <c r="N21" s="61" t="str">
        <f t="shared" si="13"/>
        <v/>
      </c>
      <c r="O21" s="61">
        <f t="shared" si="14"/>
        <v>0</v>
      </c>
      <c r="P21" s="61">
        <f t="shared" si="20"/>
        <v>0</v>
      </c>
      <c r="Q21" s="61" t="str">
        <f t="shared" si="15"/>
        <v/>
      </c>
      <c r="R21" s="61" t="str">
        <f t="shared" si="21"/>
        <v/>
      </c>
      <c r="S21" s="61" t="str">
        <f t="shared" si="16"/>
        <v/>
      </c>
      <c r="T21" s="61" t="str">
        <f t="shared" si="17"/>
        <v/>
      </c>
      <c r="U21" s="61">
        <f t="shared" si="1"/>
        <v>0</v>
      </c>
      <c r="V21" s="61">
        <f t="shared" si="22"/>
        <v>0</v>
      </c>
      <c r="W21" s="61" t="str">
        <f t="shared" si="2"/>
        <v/>
      </c>
      <c r="X21" s="61" t="str">
        <f t="shared" si="3"/>
        <v/>
      </c>
      <c r="Y21" s="61" t="str">
        <f t="shared" si="4"/>
        <v/>
      </c>
      <c r="Z21" s="61" t="str">
        <f t="shared" si="5"/>
        <v/>
      </c>
      <c r="AA21" s="61">
        <f t="shared" si="6"/>
        <v>0</v>
      </c>
      <c r="AB21" s="61">
        <f t="shared" si="24"/>
        <v>0</v>
      </c>
      <c r="AC21" s="61" t="str">
        <f t="shared" si="7"/>
        <v/>
      </c>
      <c r="AD21" s="61" t="str">
        <f t="shared" si="0"/>
        <v/>
      </c>
      <c r="AE21" s="61" t="str">
        <f t="shared" si="8"/>
        <v/>
      </c>
      <c r="AF21" s="61" t="str">
        <f t="shared" si="9"/>
        <v/>
      </c>
      <c r="AG21" s="61"/>
    </row>
    <row r="22" spans="1:33" x14ac:dyDescent="0.3">
      <c r="F22" s="69">
        <v>1200</v>
      </c>
      <c r="G22" s="61">
        <f>'Paramètres d''entrée'!B23</f>
        <v>44.1</v>
      </c>
      <c r="H22" s="61"/>
      <c r="I22" s="61">
        <f t="shared" si="10"/>
        <v>1</v>
      </c>
      <c r="J22" s="61">
        <f t="shared" si="18"/>
        <v>1</v>
      </c>
      <c r="K22" s="61">
        <f>IF(J22=1,F22,"")</f>
        <v>1200</v>
      </c>
      <c r="L22" s="61">
        <f t="shared" si="19"/>
        <v>900</v>
      </c>
      <c r="M22" s="61">
        <f>IF(J22=1,G21,"")</f>
        <v>67.2</v>
      </c>
      <c r="N22" s="61">
        <f t="shared" si="13"/>
        <v>44.1</v>
      </c>
      <c r="O22" s="61">
        <f t="shared" si="14"/>
        <v>0</v>
      </c>
      <c r="P22" s="61">
        <f t="shared" si="20"/>
        <v>0</v>
      </c>
      <c r="Q22" s="61" t="str">
        <f>IF(P22=1,F22,"")</f>
        <v/>
      </c>
      <c r="R22" s="61" t="str">
        <f t="shared" si="21"/>
        <v/>
      </c>
      <c r="S22" s="61" t="str">
        <f t="shared" si="16"/>
        <v/>
      </c>
      <c r="T22" s="61" t="str">
        <f t="shared" si="17"/>
        <v/>
      </c>
      <c r="U22" s="61">
        <f t="shared" si="1"/>
        <v>1</v>
      </c>
      <c r="V22" s="61">
        <f t="shared" si="22"/>
        <v>1</v>
      </c>
      <c r="W22" s="61">
        <f t="shared" si="2"/>
        <v>1200</v>
      </c>
      <c r="X22" s="61">
        <f t="shared" si="3"/>
        <v>900</v>
      </c>
      <c r="Y22" s="61">
        <f t="shared" si="4"/>
        <v>67.2</v>
      </c>
      <c r="Z22" s="61">
        <f t="shared" si="5"/>
        <v>44.1</v>
      </c>
      <c r="AA22" s="61">
        <f t="shared" si="6"/>
        <v>0</v>
      </c>
      <c r="AB22" s="61">
        <f t="shared" si="24"/>
        <v>0</v>
      </c>
      <c r="AC22" s="61" t="str">
        <f t="shared" si="7"/>
        <v/>
      </c>
      <c r="AD22" s="61" t="str">
        <f t="shared" si="0"/>
        <v/>
      </c>
      <c r="AE22" s="61" t="str">
        <f t="shared" si="8"/>
        <v/>
      </c>
      <c r="AF22" s="61" t="str">
        <f t="shared" si="9"/>
        <v/>
      </c>
      <c r="AG22" s="61"/>
    </row>
    <row r="23" spans="1:33" x14ac:dyDescent="0.3">
      <c r="F23" s="69">
        <v>1500</v>
      </c>
      <c r="G23" s="61">
        <f>'Paramètres d''entrée'!B24</f>
        <v>31.9</v>
      </c>
      <c r="H23" s="61"/>
      <c r="I23" s="61">
        <f>IF($G$9&lt;=F23,1,0)</f>
        <v>1</v>
      </c>
      <c r="J23" s="61">
        <f t="shared" si="18"/>
        <v>0</v>
      </c>
      <c r="K23" s="61" t="str">
        <f>IF(J23=1,F23,"")</f>
        <v/>
      </c>
      <c r="L23" s="61" t="str">
        <f t="shared" si="19"/>
        <v/>
      </c>
      <c r="M23" s="61" t="str">
        <f>IF(J23=1,G22,"")</f>
        <v/>
      </c>
      <c r="N23" s="61" t="str">
        <f t="shared" si="13"/>
        <v/>
      </c>
      <c r="O23" s="61">
        <f>IF($G$10&lt;=F23,1,0)</f>
        <v>1</v>
      </c>
      <c r="P23" s="61">
        <f t="shared" si="20"/>
        <v>1</v>
      </c>
      <c r="Q23" s="61">
        <f>IF(P23=1,F23,"")</f>
        <v>1500</v>
      </c>
      <c r="R23" s="61">
        <f>IF(P23=1,F22,"")</f>
        <v>1200</v>
      </c>
      <c r="S23" s="61">
        <f t="shared" si="16"/>
        <v>44.1</v>
      </c>
      <c r="T23" s="61">
        <f t="shared" si="17"/>
        <v>31.9</v>
      </c>
      <c r="U23" s="61">
        <f t="shared" si="1"/>
        <v>1</v>
      </c>
      <c r="V23" s="61">
        <f>U23-U22</f>
        <v>0</v>
      </c>
      <c r="W23" s="61" t="str">
        <f t="shared" si="2"/>
        <v/>
      </c>
      <c r="X23" s="61" t="str">
        <f t="shared" si="3"/>
        <v/>
      </c>
      <c r="Y23" s="61" t="str">
        <f t="shared" si="4"/>
        <v/>
      </c>
      <c r="Z23" s="61" t="str">
        <f t="shared" si="5"/>
        <v/>
      </c>
      <c r="AA23" s="61">
        <f t="shared" si="6"/>
        <v>0</v>
      </c>
      <c r="AB23" s="61">
        <f t="shared" si="24"/>
        <v>0</v>
      </c>
      <c r="AC23" s="61" t="str">
        <f t="shared" si="7"/>
        <v/>
      </c>
      <c r="AD23" s="61" t="str">
        <f t="shared" si="0"/>
        <v/>
      </c>
      <c r="AE23" s="61" t="str">
        <f t="shared" si="8"/>
        <v/>
      </c>
      <c r="AF23" s="61" t="str">
        <f t="shared" si="9"/>
        <v/>
      </c>
      <c r="AG23" s="61"/>
    </row>
    <row r="24" spans="1:33" x14ac:dyDescent="0.3">
      <c r="F24" s="61"/>
      <c r="G24" s="61"/>
      <c r="H24" s="61"/>
      <c r="I24" s="61"/>
      <c r="J24" s="61"/>
      <c r="K24" s="61">
        <f>SUM(K15:K23)</f>
        <v>1200</v>
      </c>
      <c r="L24" s="61">
        <f>SUM(L16:L23)</f>
        <v>900</v>
      </c>
      <c r="M24" s="61">
        <f>SUM(M15:M23)</f>
        <v>67.2</v>
      </c>
      <c r="N24" s="61">
        <f>SUM(N15:N23)</f>
        <v>44.1</v>
      </c>
      <c r="O24" s="61"/>
      <c r="P24" s="61"/>
      <c r="Q24" s="61">
        <f>SUM(Q15:Q23)</f>
        <v>1500</v>
      </c>
      <c r="R24" s="61">
        <f>SUM(R16:R23)</f>
        <v>1200</v>
      </c>
      <c r="S24" s="61">
        <f>SUM(S15:S23)</f>
        <v>44.1</v>
      </c>
      <c r="T24" s="61">
        <f>SUM(T15:T23)</f>
        <v>31.9</v>
      </c>
      <c r="U24" s="61"/>
      <c r="V24" s="61"/>
      <c r="W24" s="61">
        <f>SUM(W15:W23)</f>
        <v>1200</v>
      </c>
      <c r="X24" s="61">
        <f>SUM(X16:X23)</f>
        <v>900</v>
      </c>
      <c r="Y24" s="61">
        <f>SUM(Y15:Y23)</f>
        <v>67.2</v>
      </c>
      <c r="Z24" s="61">
        <f>SUM(Z15:Z23)</f>
        <v>44.1</v>
      </c>
      <c r="AA24" s="61"/>
      <c r="AB24" s="61"/>
      <c r="AC24" s="61">
        <f>SUM(AC15:AC23)</f>
        <v>0</v>
      </c>
      <c r="AD24" s="61">
        <f>SUM(AD16:AD23)</f>
        <v>0</v>
      </c>
      <c r="AE24" s="61">
        <f>SUM(AE15:AE23)</f>
        <v>0</v>
      </c>
      <c r="AF24" s="61">
        <f>SUM(AF15:AF23)</f>
        <v>0</v>
      </c>
      <c r="AG24" s="61"/>
    </row>
    <row r="25" spans="1:33" x14ac:dyDescent="0.3">
      <c r="F25" s="61"/>
      <c r="G25" s="61"/>
      <c r="H25" s="61"/>
      <c r="I25" s="61"/>
      <c r="J25" s="61"/>
      <c r="K25" s="61" t="s">
        <v>27</v>
      </c>
      <c r="L25" s="61" t="s">
        <v>26</v>
      </c>
      <c r="M25" s="61" t="s">
        <v>24</v>
      </c>
      <c r="N25" s="61" t="s">
        <v>25</v>
      </c>
      <c r="O25" s="61"/>
      <c r="P25" s="61"/>
      <c r="Q25" s="61" t="s">
        <v>27</v>
      </c>
      <c r="R25" s="61" t="s">
        <v>26</v>
      </c>
      <c r="S25" s="61" t="s">
        <v>24</v>
      </c>
      <c r="T25" s="61" t="s">
        <v>25</v>
      </c>
      <c r="U25" s="61"/>
      <c r="V25" s="61"/>
      <c r="W25" s="61" t="s">
        <v>27</v>
      </c>
      <c r="X25" s="61" t="s">
        <v>26</v>
      </c>
      <c r="Y25" s="61" t="s">
        <v>24</v>
      </c>
      <c r="Z25" s="61" t="s">
        <v>25</v>
      </c>
      <c r="AA25" s="61"/>
      <c r="AB25" s="61"/>
      <c r="AC25" s="61" t="s">
        <v>27</v>
      </c>
      <c r="AD25" s="61" t="s">
        <v>26</v>
      </c>
      <c r="AE25" s="61" t="s">
        <v>24</v>
      </c>
      <c r="AF25" s="61" t="s">
        <v>25</v>
      </c>
      <c r="AG25" s="61"/>
    </row>
    <row r="26" spans="1:33" x14ac:dyDescent="0.3">
      <c r="F26" s="61"/>
      <c r="G26" s="61"/>
      <c r="H26" s="61"/>
      <c r="I26" s="61"/>
      <c r="J26" s="61"/>
      <c r="K26" s="81" t="s">
        <v>28</v>
      </c>
      <c r="L26" s="81"/>
      <c r="M26" s="81"/>
      <c r="N26" s="81"/>
      <c r="O26" s="61"/>
      <c r="P26" s="61"/>
      <c r="Q26" s="81" t="s">
        <v>29</v>
      </c>
      <c r="R26" s="81"/>
      <c r="S26" s="81"/>
      <c r="T26" s="81"/>
      <c r="U26" s="61"/>
      <c r="V26" s="61"/>
      <c r="W26" s="81" t="s">
        <v>28</v>
      </c>
      <c r="X26" s="81"/>
      <c r="Y26" s="81"/>
      <c r="Z26" s="81"/>
      <c r="AA26" s="61"/>
      <c r="AB26" s="61"/>
      <c r="AC26" s="81" t="s">
        <v>69</v>
      </c>
      <c r="AD26" s="81"/>
      <c r="AE26" s="81"/>
      <c r="AF26" s="81"/>
      <c r="AG26" s="61"/>
    </row>
    <row r="27" spans="1:33" x14ac:dyDescent="0.3">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row>
    <row r="31" spans="1:33" ht="15" thickBot="1" x14ac:dyDescent="0.35"/>
    <row r="32" spans="1:33" ht="15" thickBot="1" x14ac:dyDescent="0.35">
      <c r="A32" s="63" t="s">
        <v>41</v>
      </c>
      <c r="B32" s="64" t="s">
        <v>42</v>
      </c>
      <c r="C32" s="64" t="s">
        <v>43</v>
      </c>
      <c r="D32" s="64" t="s">
        <v>44</v>
      </c>
      <c r="E32" s="64" t="s">
        <v>45</v>
      </c>
      <c r="F32" s="64" t="s">
        <v>46</v>
      </c>
      <c r="G32" s="65" t="s">
        <v>47</v>
      </c>
    </row>
    <row r="33" spans="1:11" x14ac:dyDescent="0.3">
      <c r="A33" s="66" t="s">
        <v>15</v>
      </c>
      <c r="B33" s="66">
        <v>-0.42199999999999999</v>
      </c>
      <c r="C33" s="66">
        <v>4.97</v>
      </c>
      <c r="D33" s="66">
        <v>-1.76</v>
      </c>
      <c r="E33" s="66">
        <v>-0.42199999999999999</v>
      </c>
      <c r="F33" s="66">
        <v>-0.14899999999999999</v>
      </c>
      <c r="G33" s="66">
        <f>6.46*10^-4</f>
        <v>6.4599999999999998E-4</v>
      </c>
    </row>
    <row r="34" spans="1:11" x14ac:dyDescent="0.3">
      <c r="A34" s="67" t="s">
        <v>16</v>
      </c>
      <c r="B34" s="67">
        <v>0.215</v>
      </c>
      <c r="C34" s="67">
        <v>4.29</v>
      </c>
      <c r="D34" s="67">
        <v>-1.32</v>
      </c>
      <c r="E34" s="67">
        <v>-0.39800000000000002</v>
      </c>
      <c r="F34" s="67">
        <v>-0.14599999999999999</v>
      </c>
      <c r="G34" s="67">
        <f>7.95*10^-4</f>
        <v>7.9500000000000003E-4</v>
      </c>
    </row>
    <row r="35" spans="1:11" x14ac:dyDescent="0.3">
      <c r="A35" s="67" t="s">
        <v>17</v>
      </c>
      <c r="B35" s="67">
        <v>-7.1999999999999995E-2</v>
      </c>
      <c r="C35" s="67">
        <v>4.63</v>
      </c>
      <c r="D35" s="67">
        <v>-1.68</v>
      </c>
      <c r="E35" s="67">
        <v>-0.32400000000000001</v>
      </c>
      <c r="F35" s="67">
        <v>-0.151</v>
      </c>
      <c r="G35" s="67">
        <f>6.88*10^-4</f>
        <v>6.8800000000000003E-4</v>
      </c>
    </row>
    <row r="36" spans="1:11" x14ac:dyDescent="0.3">
      <c r="A36" s="67" t="s">
        <v>18</v>
      </c>
      <c r="B36" s="67">
        <v>0.63600000000000001</v>
      </c>
      <c r="C36" s="67">
        <v>3.9</v>
      </c>
      <c r="D36" s="67">
        <v>-1.38</v>
      </c>
      <c r="E36" s="67">
        <v>-0.36899999999999999</v>
      </c>
      <c r="F36" s="67">
        <v>-0.14699999999999999</v>
      </c>
      <c r="G36" s="67">
        <f>6.56*10^-4</f>
        <v>6.5600000000000001E-4</v>
      </c>
    </row>
    <row r="37" spans="1:11" x14ac:dyDescent="0.3">
      <c r="A37" s="67" t="s">
        <v>19</v>
      </c>
      <c r="B37" s="67">
        <v>-0.22</v>
      </c>
      <c r="C37" s="67">
        <v>4.7699999999999996</v>
      </c>
      <c r="D37" s="67">
        <v>-1.76</v>
      </c>
      <c r="E37" s="67">
        <v>-0.28299999999999997</v>
      </c>
      <c r="F37" s="67">
        <v>-0.158</v>
      </c>
      <c r="G37" s="67">
        <f>5.94*10^-4</f>
        <v>5.9400000000000002E-4</v>
      </c>
    </row>
    <row r="38" spans="1:11" ht="15" thickBot="1" x14ac:dyDescent="0.35"/>
    <row r="39" spans="1:11" ht="15" thickBot="1" x14ac:dyDescent="0.35">
      <c r="A39" s="63" t="s">
        <v>48</v>
      </c>
      <c r="B39" s="64" t="s">
        <v>42</v>
      </c>
      <c r="C39" s="64" t="s">
        <v>43</v>
      </c>
      <c r="D39" s="64" t="s">
        <v>44</v>
      </c>
      <c r="E39" s="64" t="s">
        <v>45</v>
      </c>
      <c r="F39" s="64" t="s">
        <v>46</v>
      </c>
      <c r="G39" s="65" t="s">
        <v>47</v>
      </c>
    </row>
    <row r="40" spans="1:11" x14ac:dyDescent="0.3">
      <c r="A40" s="66" t="str">
        <f>'Paramètres d''entrée'!B12</f>
        <v>70-28</v>
      </c>
      <c r="B40" s="66">
        <f t="shared" ref="B40:G40" si="25">IF($A$40=$A$33,B33,IF($A$40=$A$34,B34,IF($A$40=$A$35,B35,IF($A$40=$A$36,B36,B37))))</f>
        <v>-0.22</v>
      </c>
      <c r="C40" s="66">
        <f t="shared" si="25"/>
        <v>4.7699999999999996</v>
      </c>
      <c r="D40" s="66">
        <f t="shared" si="25"/>
        <v>-1.76</v>
      </c>
      <c r="E40" s="66">
        <f t="shared" si="25"/>
        <v>-0.28299999999999997</v>
      </c>
      <c r="F40" s="66">
        <f t="shared" si="25"/>
        <v>-0.158</v>
      </c>
      <c r="G40" s="66">
        <f t="shared" si="25"/>
        <v>5.9400000000000002E-4</v>
      </c>
    </row>
    <row r="42" spans="1:11" x14ac:dyDescent="0.3">
      <c r="I42" s="60" t="s">
        <v>57</v>
      </c>
      <c r="J42" s="60">
        <f>'Paramètres d''entrée'!N5</f>
        <v>0</v>
      </c>
    </row>
    <row r="43" spans="1:11" x14ac:dyDescent="0.3">
      <c r="E43" s="60" t="s">
        <v>54</v>
      </c>
      <c r="F43" s="60" t="s">
        <v>53</v>
      </c>
      <c r="G43" s="60">
        <f>((('Paramètres d''entrée'!J6*10^(-6/3.29)*('Paramètres d''entrée'!B9/3000)^(0.85))/240)^(-3.29))*10^-6</f>
        <v>8.5820905732286512</v>
      </c>
      <c r="I43" s="60" t="s">
        <v>55</v>
      </c>
      <c r="J43" s="60">
        <f>G43</f>
        <v>8.5820905732286512</v>
      </c>
      <c r="K43" s="60" t="s">
        <v>59</v>
      </c>
    </row>
    <row r="44" spans="1:11" x14ac:dyDescent="0.3">
      <c r="A44" s="60" t="s">
        <v>49</v>
      </c>
      <c r="B44" s="60">
        <f>F40*(G2-10)+G40*(G2-10)^2</f>
        <v>-2.7649582859737509</v>
      </c>
      <c r="F44" s="60" t="s">
        <v>58</v>
      </c>
      <c r="G44" s="60">
        <f>(('Paramètres d''entrée'!J7*10^(-6/4.48)/482)^(-4.48))*10^-6</f>
        <v>1093.0207017699609</v>
      </c>
      <c r="I44" s="60" t="s">
        <v>56</v>
      </c>
      <c r="J44" s="60">
        <f>G44</f>
        <v>1093.0207017699609</v>
      </c>
      <c r="K44" s="60" t="s">
        <v>60</v>
      </c>
    </row>
    <row r="45" spans="1:11" x14ac:dyDescent="0.3">
      <c r="A45" s="60" t="s">
        <v>51</v>
      </c>
      <c r="B45" s="60">
        <f>10^B44</f>
        <v>1.7180734003460307E-3</v>
      </c>
    </row>
    <row r="46" spans="1:11" x14ac:dyDescent="0.3">
      <c r="A46" s="60" t="s">
        <v>50</v>
      </c>
      <c r="B46" s="60">
        <f>B45*'Paramètres d''entrée'!F6</f>
        <v>5.8414495611765045E-2</v>
      </c>
      <c r="F46" s="60" t="s">
        <v>77</v>
      </c>
      <c r="G46" s="60">
        <f>((('Paramètres d''entrée'!J6*10^(-6/3.29)*('Paramètres d''entrée'!B9/3000)^(0.85))/240)^(-3.29))</f>
        <v>8582090.5732286517</v>
      </c>
    </row>
    <row r="47" spans="1:11" x14ac:dyDescent="0.3">
      <c r="F47" s="60" t="s">
        <v>76</v>
      </c>
      <c r="G47" s="60">
        <f>(('Paramètres d''entrée'!J7*10^(-6/4.48)/482)^(-4.48))</f>
        <v>1093020701.7699609</v>
      </c>
    </row>
    <row r="49" spans="1:5" x14ac:dyDescent="0.3">
      <c r="A49" s="60" t="s">
        <v>138</v>
      </c>
      <c r="B49" s="60" t="s">
        <v>64</v>
      </c>
      <c r="C49" s="60" t="s">
        <v>65</v>
      </c>
      <c r="D49" s="60" t="s">
        <v>66</v>
      </c>
      <c r="E49" s="60" t="s">
        <v>64</v>
      </c>
    </row>
    <row r="50" spans="1:5" x14ac:dyDescent="0.3">
      <c r="A50" s="60">
        <f>240*((B50*10^-6)^(-0.30395))*(($C$50/3000)^(-0.85))</f>
        <v>2765.2780853992376</v>
      </c>
      <c r="B50" s="60">
        <v>1000</v>
      </c>
      <c r="C50" s="60">
        <v>2000</v>
      </c>
      <c r="D50" s="60">
        <f>482*((E50/10^6)^(-1/4.48))</f>
        <v>2252.6301645975664</v>
      </c>
      <c r="E50" s="60">
        <v>1000</v>
      </c>
    </row>
    <row r="51" spans="1:5" x14ac:dyDescent="0.3">
      <c r="A51" s="60">
        <f t="shared" ref="A51:A54" si="26">240*((B51*10^-6)^(-0.30395))*(($C$50/3000)^(-0.85))</f>
        <v>1373.3739703041929</v>
      </c>
      <c r="B51" s="60">
        <v>10000</v>
      </c>
      <c r="D51" s="60">
        <f t="shared" ref="D51:D55" si="27">482*((E51/10^6)^(-1/4.48))</f>
        <v>1347.335055783152</v>
      </c>
      <c r="E51" s="60">
        <v>10000</v>
      </c>
    </row>
    <row r="52" spans="1:5" x14ac:dyDescent="0.3">
      <c r="A52" s="60">
        <f t="shared" si="26"/>
        <v>682.08549160681901</v>
      </c>
      <c r="B52" s="60">
        <v>100000</v>
      </c>
      <c r="D52" s="60">
        <f t="shared" si="27"/>
        <v>805.86319985930561</v>
      </c>
      <c r="E52" s="60">
        <v>100000</v>
      </c>
    </row>
    <row r="53" spans="1:5" x14ac:dyDescent="0.3">
      <c r="A53" s="60">
        <f t="shared" si="26"/>
        <v>338.75741634848981</v>
      </c>
      <c r="B53" s="60">
        <v>1000000</v>
      </c>
      <c r="D53" s="60">
        <f t="shared" si="27"/>
        <v>482</v>
      </c>
      <c r="E53" s="60">
        <v>1000000</v>
      </c>
    </row>
    <row r="54" spans="1:5" x14ac:dyDescent="0.3">
      <c r="A54" s="60">
        <f t="shared" si="26"/>
        <v>168.243700449876</v>
      </c>
      <c r="B54" s="60">
        <v>10000000</v>
      </c>
      <c r="D54" s="60">
        <f t="shared" si="27"/>
        <v>288.29210719705407</v>
      </c>
      <c r="E54" s="60">
        <v>10000000</v>
      </c>
    </row>
    <row r="55" spans="1:5" x14ac:dyDescent="0.3">
      <c r="A55" s="60">
        <f>240*((B50*10^-6)^(-0.30395))*(($C$55/3000)^(-0.85))</f>
        <v>1959.1209179995733</v>
      </c>
      <c r="B55" s="60">
        <v>1000</v>
      </c>
      <c r="C55" s="60">
        <v>3000</v>
      </c>
      <c r="D55" s="60">
        <f t="shared" si="27"/>
        <v>172.43223873883343</v>
      </c>
      <c r="E55" s="60">
        <v>100000000</v>
      </c>
    </row>
    <row r="56" spans="1:5" x14ac:dyDescent="0.3">
      <c r="A56" s="60">
        <f t="shared" ref="A56:A59" si="28">240*((B51*10^-6)^(-0.30395))*(($C$55/3000)^(-0.85))</f>
        <v>972.99641857560675</v>
      </c>
      <c r="B56" s="60">
        <v>10000</v>
      </c>
    </row>
    <row r="57" spans="1:5" x14ac:dyDescent="0.3">
      <c r="A57" s="60">
        <f t="shared" si="28"/>
        <v>483.23818191254884</v>
      </c>
      <c r="B57" s="60">
        <v>100000</v>
      </c>
    </row>
    <row r="58" spans="1:5" x14ac:dyDescent="0.3">
      <c r="A58" s="60">
        <f t="shared" si="28"/>
        <v>240</v>
      </c>
      <c r="B58" s="60">
        <v>1000000</v>
      </c>
    </row>
    <row r="59" spans="1:5" x14ac:dyDescent="0.3">
      <c r="A59" s="60">
        <f t="shared" si="28"/>
        <v>119.19587929089555</v>
      </c>
      <c r="B59" s="60">
        <v>10000000</v>
      </c>
    </row>
    <row r="60" spans="1:5" x14ac:dyDescent="0.3">
      <c r="A60" s="60">
        <f>240*((B60*10^-6)^(-0.30395))*(($C$60/3000)^(-0.85))</f>
        <v>1534.1340726686069</v>
      </c>
      <c r="B60" s="60">
        <v>1000</v>
      </c>
      <c r="C60" s="60">
        <v>4000</v>
      </c>
    </row>
    <row r="61" spans="1:5" x14ac:dyDescent="0.3">
      <c r="A61" s="60">
        <f t="shared" ref="A61:A64" si="29">240*((B61*10^-6)^(-0.30395))*(($C$60/3000)^(-0.85))</f>
        <v>761.92691559107186</v>
      </c>
      <c r="B61" s="60">
        <v>10000</v>
      </c>
    </row>
    <row r="62" spans="1:5" x14ac:dyDescent="0.3">
      <c r="A62" s="60">
        <f t="shared" si="29"/>
        <v>378.4106194136574</v>
      </c>
      <c r="B62" s="60">
        <v>100000</v>
      </c>
    </row>
    <row r="63" spans="1:5" x14ac:dyDescent="0.3">
      <c r="A63" s="60">
        <f t="shared" si="29"/>
        <v>187.93744380843052</v>
      </c>
      <c r="B63" s="60">
        <v>1000000</v>
      </c>
    </row>
    <row r="64" spans="1:5" x14ac:dyDescent="0.3">
      <c r="A64" s="60">
        <f t="shared" si="29"/>
        <v>93.339036943454786</v>
      </c>
      <c r="B64" s="60">
        <v>10000000</v>
      </c>
    </row>
    <row r="65" spans="1:3" x14ac:dyDescent="0.3">
      <c r="A65" s="60">
        <f>240*((B65*10^-6)^(-0.30395))*(($C$65/3000)^(-0.85))</f>
        <v>1269.0823512203622</v>
      </c>
      <c r="B65" s="60">
        <v>1000</v>
      </c>
      <c r="C65" s="60">
        <v>5000</v>
      </c>
    </row>
    <row r="66" spans="1:3" x14ac:dyDescent="0.3">
      <c r="A66" s="60">
        <f t="shared" ref="A66:A69" si="30">240*((B66*10^-6)^(-0.30395))*(($C$65/3000)^(-0.85))</f>
        <v>630.28911144278425</v>
      </c>
      <c r="B66" s="60">
        <v>10000</v>
      </c>
    </row>
    <row r="67" spans="1:3" x14ac:dyDescent="0.3">
      <c r="A67" s="60">
        <f t="shared" si="30"/>
        <v>313.03277019124971</v>
      </c>
      <c r="B67" s="60">
        <v>100000</v>
      </c>
    </row>
    <row r="68" spans="1:3" x14ac:dyDescent="0.3">
      <c r="A68" s="60">
        <f t="shared" si="30"/>
        <v>155.46756787421188</v>
      </c>
      <c r="B68" s="60">
        <v>1000000</v>
      </c>
    </row>
    <row r="69" spans="1:3" x14ac:dyDescent="0.3">
      <c r="A69" s="60">
        <f t="shared" si="30"/>
        <v>77.212889391598623</v>
      </c>
      <c r="B69" s="60">
        <v>10000000</v>
      </c>
    </row>
    <row r="70" spans="1:3" x14ac:dyDescent="0.3">
      <c r="A70" s="60">
        <f>240*((B70*10^-6)^(-0.30395))*(($C$70/3000)^(-0.85))</f>
        <v>1086.8903813509291</v>
      </c>
      <c r="B70" s="60">
        <v>1000</v>
      </c>
      <c r="C70" s="60">
        <v>6000</v>
      </c>
    </row>
    <row r="71" spans="1:3" x14ac:dyDescent="0.3">
      <c r="A71" s="60">
        <f t="shared" ref="A71:A74" si="31">240*((B71*10^-6)^(-0.30395))*(($C$70/3000)^(-0.85))</f>
        <v>539.80356124141997</v>
      </c>
      <c r="B71" s="60">
        <v>10000</v>
      </c>
    </row>
    <row r="72" spans="1:3" x14ac:dyDescent="0.3">
      <c r="A72" s="60">
        <f t="shared" si="31"/>
        <v>268.09316719386607</v>
      </c>
      <c r="B72" s="60">
        <v>100000</v>
      </c>
    </row>
    <row r="73" spans="1:3" x14ac:dyDescent="0.3">
      <c r="A73" s="60">
        <f t="shared" si="31"/>
        <v>133.1483366481414</v>
      </c>
      <c r="B73" s="60">
        <v>1000000</v>
      </c>
    </row>
    <row r="74" spans="1:3" x14ac:dyDescent="0.3">
      <c r="A74" s="60">
        <f t="shared" si="31"/>
        <v>66.128054428730778</v>
      </c>
      <c r="B74" s="60">
        <v>10000000</v>
      </c>
    </row>
    <row r="75" spans="1:3" x14ac:dyDescent="0.3">
      <c r="A75" s="60">
        <f>240*((B75*10^-6)^(-0.30395))*(($C$75/3000)^(-0.85))</f>
        <v>953.41279117551164</v>
      </c>
      <c r="B75" s="60">
        <v>1000</v>
      </c>
      <c r="C75" s="60">
        <v>7000</v>
      </c>
    </row>
    <row r="76" spans="1:3" x14ac:dyDescent="0.3">
      <c r="A76" s="60">
        <f t="shared" ref="A76:A79" si="32">240*((B76*10^-6)^(-0.30395))*(($C$75/3000)^(-0.85))</f>
        <v>473.51198321396708</v>
      </c>
      <c r="B76" s="60">
        <v>10000</v>
      </c>
    </row>
    <row r="77" spans="1:3" x14ac:dyDescent="0.3">
      <c r="A77" s="60">
        <f t="shared" si="32"/>
        <v>235.16948830818578</v>
      </c>
      <c r="B77" s="60">
        <v>100000</v>
      </c>
    </row>
    <row r="78" spans="1:3" x14ac:dyDescent="0.3">
      <c r="A78" s="60">
        <f t="shared" si="32"/>
        <v>116.7968080886841</v>
      </c>
      <c r="B78" s="60">
        <v>1000000</v>
      </c>
    </row>
    <row r="79" spans="1:3" x14ac:dyDescent="0.3">
      <c r="A79" s="60">
        <f t="shared" si="32"/>
        <v>58.007075993752849</v>
      </c>
      <c r="B79" s="60">
        <v>10000000</v>
      </c>
    </row>
    <row r="80" spans="1:3" x14ac:dyDescent="0.3">
      <c r="A80" s="60">
        <f>240*((B80*10^-6)^(-0.30395))*(($C$80/3000)^(-0.85))</f>
        <v>851.11416654609957</v>
      </c>
      <c r="B80" s="60">
        <v>1000</v>
      </c>
      <c r="C80" s="60">
        <v>8000</v>
      </c>
    </row>
    <row r="81" spans="1:3" x14ac:dyDescent="0.3">
      <c r="A81" s="60">
        <f t="shared" ref="A81:A84" si="33">240*((B81*10^-6)^(-0.30395))*(($C$80/3000)^(-0.85))</f>
        <v>422.70542274333354</v>
      </c>
      <c r="B81" s="60">
        <v>10000</v>
      </c>
    </row>
    <row r="82" spans="1:3" x14ac:dyDescent="0.3">
      <c r="A82" s="60">
        <f t="shared" si="33"/>
        <v>209.93643560383904</v>
      </c>
      <c r="B82" s="60">
        <v>100000</v>
      </c>
    </row>
    <row r="83" spans="1:3" x14ac:dyDescent="0.3">
      <c r="A83" s="60">
        <f t="shared" si="33"/>
        <v>104.26482515415027</v>
      </c>
      <c r="B83" s="60">
        <v>1000000</v>
      </c>
    </row>
    <row r="84" spans="1:3" x14ac:dyDescent="0.3">
      <c r="A84" s="60">
        <f t="shared" si="33"/>
        <v>51.783072972335106</v>
      </c>
      <c r="B84" s="60">
        <v>10000000</v>
      </c>
    </row>
    <row r="85" spans="1:3" x14ac:dyDescent="0.3">
      <c r="A85" s="60">
        <f>240*((B85*10^-6)^(-0.30395))*(($C$85/3000)^(-0.85))</f>
        <v>770.03093935477136</v>
      </c>
      <c r="B85" s="60">
        <v>1000</v>
      </c>
      <c r="C85" s="60">
        <v>9000</v>
      </c>
    </row>
    <row r="86" spans="1:3" x14ac:dyDescent="0.3">
      <c r="A86" s="60">
        <f t="shared" ref="A86:A89" si="34">240*((B86*10^-6)^(-0.30395))*(($C$85/3000)^(-0.85))</f>
        <v>382.43547873994265</v>
      </c>
      <c r="B86" s="60">
        <v>10000</v>
      </c>
    </row>
    <row r="87" spans="1:3" x14ac:dyDescent="0.3">
      <c r="A87" s="60">
        <f t="shared" si="34"/>
        <v>189.93638816850859</v>
      </c>
      <c r="B87" s="60">
        <v>100000</v>
      </c>
    </row>
    <row r="88" spans="1:3" x14ac:dyDescent="0.3">
      <c r="A88" s="60">
        <f t="shared" si="34"/>
        <v>94.331811654509309</v>
      </c>
      <c r="B88" s="60">
        <v>1000000</v>
      </c>
    </row>
    <row r="89" spans="1:3" x14ac:dyDescent="0.3">
      <c r="A89" s="60">
        <f t="shared" si="34"/>
        <v>46.849846813593274</v>
      </c>
      <c r="B89" s="60">
        <v>10000000</v>
      </c>
    </row>
    <row r="90" spans="1:3" x14ac:dyDescent="0.3">
      <c r="A90" s="60">
        <f>240*((B90*10^-6)^(-0.30395))*(($C$90/3000)^(-0.85))</f>
        <v>704.06751722709851</v>
      </c>
      <c r="B90" s="60">
        <v>1000</v>
      </c>
      <c r="C90" s="60">
        <v>10000</v>
      </c>
    </row>
    <row r="91" spans="1:3" x14ac:dyDescent="0.3">
      <c r="A91" s="60">
        <f>240*((B91*10^-6)^(-0.30395))*(($C$90/3000)^(-0.85))</f>
        <v>349.67477831684067</v>
      </c>
      <c r="B91" s="60">
        <v>10000</v>
      </c>
    </row>
    <row r="92" spans="1:3" x14ac:dyDescent="0.3">
      <c r="A92" s="60">
        <f>240*((B92*10^-6)^(-0.30395))*(($C$90/3000)^(-0.85))</f>
        <v>173.66580278052001</v>
      </c>
      <c r="B92" s="60">
        <v>100000</v>
      </c>
    </row>
    <row r="93" spans="1:3" x14ac:dyDescent="0.3">
      <c r="A93" s="60">
        <f>240*((B93*10^-6)^(-0.30395))*(($C$90/3000)^(-0.85))</f>
        <v>86.251033604930583</v>
      </c>
      <c r="B93" s="60">
        <v>1000000</v>
      </c>
    </row>
    <row r="94" spans="1:3" x14ac:dyDescent="0.3">
      <c r="A94" s="60">
        <f t="shared" ref="A94" si="35">240*((B94*10^-6)^(-0.30395))*(($C$90/3000)^(-0.85))</f>
        <v>42.836532459534503</v>
      </c>
      <c r="B94" s="60">
        <v>10000000</v>
      </c>
    </row>
    <row r="99" spans="2:3" x14ac:dyDescent="0.3">
      <c r="C99" s="60" t="s">
        <v>15</v>
      </c>
    </row>
    <row r="100" spans="2:3" x14ac:dyDescent="0.3">
      <c r="C100" s="60" t="s">
        <v>16</v>
      </c>
    </row>
    <row r="101" spans="2:3" x14ac:dyDescent="0.3">
      <c r="C101" s="60" t="s">
        <v>17</v>
      </c>
    </row>
    <row r="102" spans="2:3" x14ac:dyDescent="0.3">
      <c r="C102" s="60" t="s">
        <v>18</v>
      </c>
    </row>
    <row r="103" spans="2:3" x14ac:dyDescent="0.3">
      <c r="C103" s="60" t="s">
        <v>19</v>
      </c>
    </row>
    <row r="104" spans="2:3" x14ac:dyDescent="0.3">
      <c r="B104" s="60">
        <f>Calcul!H11+Calcul!H12</f>
        <v>0</v>
      </c>
    </row>
  </sheetData>
  <sheetProtection password="DB32" sheet="1" objects="1" scenarios="1" selectLockedCells="1" selectUnlockedCells="1"/>
  <mergeCells count="13">
    <mergeCell ref="W26:Z26"/>
    <mergeCell ref="AC26:AF26"/>
    <mergeCell ref="A19:C19"/>
    <mergeCell ref="U6:X6"/>
    <mergeCell ref="Z6:AC6"/>
    <mergeCell ref="AB9:AB10"/>
    <mergeCell ref="AB12:AB13"/>
    <mergeCell ref="K26:N26"/>
    <mergeCell ref="Q26:T26"/>
    <mergeCell ref="I6:L6"/>
    <mergeCell ref="N6:Q6"/>
    <mergeCell ref="P9:P10"/>
    <mergeCell ref="P12:P13"/>
  </mergeCells>
  <conditionalFormatting sqref="A19">
    <cfRule type="expression" dxfId="2" priority="3">
      <formula>$V$10=0</formula>
    </cfRule>
  </conditionalFormatting>
  <conditionalFormatting sqref="A19:C19">
    <cfRule type="expression" dxfId="1" priority="1">
      <formula>$V$10=1</formula>
    </cfRule>
    <cfRule type="expression" dxfId="0" priority="2">
      <formula>$V$10=2</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28"/>
  <sheetViews>
    <sheetView showGridLines="0" showRowColHeaders="0" workbookViewId="0">
      <selection activeCell="E14" sqref="E14"/>
    </sheetView>
  </sheetViews>
  <sheetFormatPr baseColWidth="10" defaultRowHeight="14.4" x14ac:dyDescent="0.3"/>
  <cols>
    <col min="1" max="1" width="153.44140625" customWidth="1"/>
  </cols>
  <sheetData>
    <row r="1" spans="1:8" ht="18" x14ac:dyDescent="0.35">
      <c r="A1" s="73" t="s">
        <v>139</v>
      </c>
    </row>
    <row r="2" spans="1:8" x14ac:dyDescent="0.3">
      <c r="A2" s="71" t="s">
        <v>142</v>
      </c>
    </row>
    <row r="3" spans="1:8" ht="15" x14ac:dyDescent="0.25">
      <c r="A3" s="70"/>
    </row>
    <row r="4" spans="1:8" ht="15" x14ac:dyDescent="0.25">
      <c r="A4" s="71" t="s">
        <v>141</v>
      </c>
    </row>
    <row r="5" spans="1:8" ht="15" x14ac:dyDescent="0.25">
      <c r="A5" s="70"/>
    </row>
    <row r="6" spans="1:8" ht="28.8" x14ac:dyDescent="0.3">
      <c r="A6" s="72" t="s">
        <v>140</v>
      </c>
    </row>
    <row r="7" spans="1:8" ht="15" x14ac:dyDescent="0.25">
      <c r="A7" s="70"/>
    </row>
    <row r="8" spans="1:8" x14ac:dyDescent="0.3">
      <c r="A8" s="71" t="s">
        <v>146</v>
      </c>
    </row>
    <row r="9" spans="1:8" ht="15" x14ac:dyDescent="0.25">
      <c r="A9" s="70"/>
    </row>
    <row r="10" spans="1:8" ht="15" x14ac:dyDescent="0.25">
      <c r="A10" s="71" t="s">
        <v>147</v>
      </c>
    </row>
    <row r="11" spans="1:8" ht="15" x14ac:dyDescent="0.25">
      <c r="A11" s="70"/>
      <c r="H11" s="70"/>
    </row>
    <row r="12" spans="1:8" ht="30" x14ac:dyDescent="0.25">
      <c r="A12" s="71" t="s">
        <v>145</v>
      </c>
    </row>
    <row r="13" spans="1:8" ht="15" x14ac:dyDescent="0.25">
      <c r="A13" s="70"/>
    </row>
    <row r="14" spans="1:8" ht="28.8" x14ac:dyDescent="0.3">
      <c r="A14" s="71" t="s">
        <v>148</v>
      </c>
    </row>
    <row r="15" spans="1:8" x14ac:dyDescent="0.3">
      <c r="A15" s="70"/>
    </row>
    <row r="16" spans="1:8" x14ac:dyDescent="0.3">
      <c r="A16" s="71" t="s">
        <v>143</v>
      </c>
    </row>
    <row r="17" spans="1:1" x14ac:dyDescent="0.3">
      <c r="A17" s="70"/>
    </row>
    <row r="18" spans="1:1" ht="28.8" x14ac:dyDescent="0.3">
      <c r="A18" s="71" t="s">
        <v>144</v>
      </c>
    </row>
    <row r="20" spans="1:1" x14ac:dyDescent="0.3">
      <c r="A20" s="70"/>
    </row>
    <row r="21" spans="1:1" x14ac:dyDescent="0.3">
      <c r="A21" s="70"/>
    </row>
    <row r="22" spans="1:1" x14ac:dyDescent="0.3">
      <c r="A22" s="70"/>
    </row>
    <row r="23" spans="1:1" x14ac:dyDescent="0.3">
      <c r="A23" s="70"/>
    </row>
    <row r="24" spans="1:1" x14ac:dyDescent="0.3">
      <c r="A24" s="70"/>
    </row>
    <row r="25" spans="1:1" x14ac:dyDescent="0.3">
      <c r="A25" s="70"/>
    </row>
    <row r="26" spans="1:1" x14ac:dyDescent="0.3">
      <c r="A26" s="70"/>
    </row>
    <row r="27" spans="1:1" x14ac:dyDescent="0.3">
      <c r="A27" s="70"/>
    </row>
    <row r="28" spans="1:1" x14ac:dyDescent="0.3">
      <c r="A28" s="70"/>
    </row>
  </sheetData>
  <sheetProtection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4</vt:i4>
      </vt:variant>
      <vt:variant>
        <vt:lpstr>Graphiques</vt:lpstr>
      </vt:variant>
      <vt:variant>
        <vt:i4>3</vt:i4>
      </vt:variant>
      <vt:variant>
        <vt:lpstr>Plages nommées</vt:lpstr>
      </vt:variant>
      <vt:variant>
        <vt:i4>1</vt:i4>
      </vt:variant>
    </vt:vector>
  </HeadingPairs>
  <TitlesOfParts>
    <vt:vector size="8" baseType="lpstr">
      <vt:lpstr>Liste des variables</vt:lpstr>
      <vt:lpstr>Paramètres d'entrée</vt:lpstr>
      <vt:lpstr>Calcul</vt:lpstr>
      <vt:lpstr>Références</vt:lpstr>
      <vt:lpstr>Bassin de déflexion</vt:lpstr>
      <vt:lpstr>Durée de vie à la fatigue</vt:lpstr>
      <vt:lpstr>Durée de vie à l'orniérage</vt:lpstr>
      <vt:lpstr>'Paramètres d''entrée'!Zone_d_impression</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Camille</dc:creator>
  <cp:lastModifiedBy>Jean-Pascal Bilodeau</cp:lastModifiedBy>
  <cp:lastPrinted>2012-12-13T15:23:02Z</cp:lastPrinted>
  <dcterms:created xsi:type="dcterms:W3CDTF">2012-07-11T17:17:26Z</dcterms:created>
  <dcterms:modified xsi:type="dcterms:W3CDTF">2012-12-13T18:57:52Z</dcterms:modified>
</cp:coreProperties>
</file>